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ções2023\Tomada de Preços - 2023\TP 12-2023 - Reforma Predio Paço Municipal\"/>
    </mc:Choice>
  </mc:AlternateContent>
  <workbookProtection lockStructure="1"/>
  <bookViews>
    <workbookView xWindow="0" yWindow="0" windowWidth="21570" windowHeight="8145" tabRatio="801" activeTab="3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1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C45" i="4"/>
  <c r="C33" i="4"/>
  <c r="A21" i="11"/>
  <c r="E21" i="13"/>
  <c r="E12" i="13"/>
  <c r="W78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C3" i="4"/>
  <c r="T283" i="5"/>
  <c r="E14" i="13"/>
  <c r="A14" i="11"/>
  <c r="O8" i="5"/>
  <c r="A15" i="11" l="1"/>
  <c r="AD16" i="5" s="1"/>
  <c r="K131" i="4"/>
  <c r="K90" i="4"/>
  <c r="K130" i="4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I99" i="4"/>
  <c r="H12" i="9"/>
  <c r="I12" i="9" s="1"/>
  <c r="I122" i="4"/>
  <c r="I108" i="4"/>
  <c r="I130" i="4"/>
  <c r="AB12" i="6"/>
  <c r="I123" i="4"/>
  <c r="I117" i="4"/>
  <c r="I113" i="4"/>
  <c r="I94" i="4"/>
  <c r="I129" i="4"/>
  <c r="H15" i="10"/>
  <c r="I12" i="10"/>
  <c r="I11" i="10" s="1"/>
  <c r="I106" i="4"/>
  <c r="I127" i="4"/>
  <c r="I131" i="4"/>
  <c r="I96" i="4"/>
  <c r="I114" i="4"/>
  <c r="I102" i="4"/>
  <c r="I121" i="4"/>
  <c r="I111" i="4"/>
  <c r="I112" i="4"/>
  <c r="O282" i="5"/>
  <c r="I274" i="6"/>
  <c r="P125" i="4"/>
  <c r="G15" i="9"/>
  <c r="M15" i="6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B14" i="6"/>
  <c r="A14" i="6" s="1"/>
  <c r="M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G5" i="5" l="1"/>
  <c r="W8" i="5" s="1"/>
  <c r="AO12" i="6"/>
  <c r="E16" i="5"/>
  <c r="B14" i="11" s="1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H206" i="5"/>
  <c r="AN206" i="5" s="1"/>
  <c r="AH54" i="5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BA14" i="6" s="1"/>
  <c r="AZ12" i="6"/>
  <c r="E16" i="12"/>
  <c r="F16" i="6"/>
  <c r="AQ13" i="6"/>
  <c r="AQ12" i="6" s="1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AN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D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E17" i="5" l="1"/>
  <c r="E18" i="5" s="1"/>
  <c r="A14" i="13"/>
  <c r="H17" i="6"/>
  <c r="T17" i="5" s="1"/>
  <c r="G17" i="12" s="1"/>
  <c r="AN17" i="6"/>
  <c r="BC17" i="6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BB14" i="6" s="1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H19" i="5"/>
  <c r="G19" i="5"/>
  <c r="A19" i="12"/>
  <c r="L19" i="12" s="1"/>
  <c r="F19" i="5"/>
  <c r="B19" i="5"/>
  <c r="C20" i="5"/>
  <c r="J19" i="5"/>
  <c r="L11" i="10"/>
  <c r="M12" i="10"/>
  <c r="A19" i="4"/>
  <c r="C19" i="4" s="1"/>
  <c r="C18" i="4"/>
  <c r="BB12" i="6"/>
  <c r="BC13" i="6"/>
  <c r="BC14" i="6" s="1"/>
  <c r="C24" i="4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AE20" i="5" l="1"/>
  <c r="I14" i="5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D14" i="6" s="1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T12" i="6"/>
  <c r="AH12" i="6"/>
  <c r="AI13" i="6"/>
  <c r="L11" i="9"/>
  <c r="M12" i="9"/>
  <c r="B21" i="7"/>
  <c r="C22" i="7"/>
  <c r="H19" i="6"/>
  <c r="T19" i="5" s="1"/>
  <c r="C14" i="12"/>
  <c r="M14" i="12"/>
  <c r="O14" i="12"/>
  <c r="AO14" i="12"/>
  <c r="G18" i="12"/>
  <c r="X18" i="5"/>
  <c r="J20" i="12" l="1"/>
  <c r="K20" i="12" s="1"/>
  <c r="O14" i="5"/>
  <c r="E14" i="6" s="1"/>
  <c r="U109" i="4"/>
  <c r="J11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O12" i="10"/>
  <c r="N11" i="10"/>
  <c r="BD12" i="6"/>
  <c r="BE13" i="6"/>
  <c r="BE14" i="6" s="1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B22" i="7"/>
  <c r="C23" i="7"/>
  <c r="M11" i="9"/>
  <c r="N12" i="9"/>
  <c r="AM18" i="5"/>
  <c r="I18" i="12"/>
  <c r="L18" i="5"/>
  <c r="Z18" i="5"/>
  <c r="I18" i="5"/>
  <c r="H20" i="6"/>
  <c r="T20" i="5" s="1"/>
  <c r="N14" i="12"/>
  <c r="K112" i="4" l="1"/>
  <c r="D14" i="12"/>
  <c r="W22" i="5"/>
  <c r="H22" i="12" s="1"/>
  <c r="H22" i="5"/>
  <c r="B22" i="6"/>
  <c r="G22" i="5"/>
  <c r="AD22" i="5"/>
  <c r="F22" i="5"/>
  <c r="C23" i="5"/>
  <c r="A22" i="12"/>
  <c r="E22" i="5"/>
  <c r="B22" i="5"/>
  <c r="AE22" i="5"/>
  <c r="N22" i="5"/>
  <c r="D22" i="6" s="1"/>
  <c r="X14" i="12"/>
  <c r="P12" i="10"/>
  <c r="O11" i="10"/>
  <c r="BE12" i="6"/>
  <c r="BF13" i="6"/>
  <c r="AV12" i="6"/>
  <c r="AV14" i="6"/>
  <c r="AI16" i="6"/>
  <c r="AI17" i="6"/>
  <c r="AI14" i="6"/>
  <c r="AK13" i="6"/>
  <c r="AK12" i="6" s="1"/>
  <c r="AJ12" i="6"/>
  <c r="G20" i="12"/>
  <c r="X20" i="5"/>
  <c r="AB18" i="5"/>
  <c r="C18" i="12"/>
  <c r="O18" i="12"/>
  <c r="M18" i="12"/>
  <c r="AO18" i="12"/>
  <c r="O12" i="9"/>
  <c r="N11" i="9"/>
  <c r="B23" i="7"/>
  <c r="C24" i="7"/>
  <c r="L19" i="5"/>
  <c r="AM19" i="5"/>
  <c r="I19" i="12"/>
  <c r="Z19" i="5"/>
  <c r="I19" i="5"/>
  <c r="H21" i="6"/>
  <c r="T21" i="5" s="1"/>
  <c r="C18" i="6"/>
  <c r="T14" i="12"/>
  <c r="V14" i="12"/>
  <c r="U14" i="12"/>
  <c r="K21" i="12"/>
  <c r="G23" i="5" l="1"/>
  <c r="BF14" i="6"/>
  <c r="Y18" i="12"/>
  <c r="W18" i="12" s="1"/>
  <c r="AD23" i="5"/>
  <c r="AE23" i="5"/>
  <c r="W23" i="5"/>
  <c r="H23" i="12" s="1"/>
  <c r="H23" i="5"/>
  <c r="F23" i="5"/>
  <c r="A23" i="12"/>
  <c r="E23" i="5"/>
  <c r="C24" i="5"/>
  <c r="B23" i="6"/>
  <c r="B23" i="5"/>
  <c r="N23" i="5"/>
  <c r="D23" i="6" s="1"/>
  <c r="Q12" i="10"/>
  <c r="P11" i="10"/>
  <c r="BF12" i="6"/>
  <c r="BG13" i="6"/>
  <c r="BG14" i="6" s="1"/>
  <c r="AK14" i="6"/>
  <c r="AK16" i="6"/>
  <c r="AK17" i="6"/>
  <c r="AJ17" i="6"/>
  <c r="AJ14" i="6"/>
  <c r="AJ16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X18" i="12" l="1"/>
  <c r="F24" i="5"/>
  <c r="K24" i="5"/>
  <c r="D24" i="5"/>
  <c r="B24" i="12" s="1"/>
  <c r="N24" i="5"/>
  <c r="D24" i="6" s="1"/>
  <c r="H24" i="5"/>
  <c r="C25" i="5"/>
  <c r="B25" i="6" s="1"/>
  <c r="E24" i="5"/>
  <c r="B24" i="6"/>
  <c r="AE24" i="5"/>
  <c r="A24" i="12"/>
  <c r="J24" i="12" s="1"/>
  <c r="AD24" i="5"/>
  <c r="B24" i="5"/>
  <c r="J24" i="5"/>
  <c r="G24" i="5"/>
  <c r="W24" i="5"/>
  <c r="H24" i="12" s="1"/>
  <c r="Q11" i="10"/>
  <c r="R12" i="10"/>
  <c r="BG1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N20" i="12" l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AB21" i="5"/>
  <c r="C21" i="6"/>
  <c r="B26" i="7"/>
  <c r="C27" i="7"/>
  <c r="H24" i="6"/>
  <c r="T24" i="5" s="1"/>
  <c r="C21" i="12"/>
  <c r="O21" i="12"/>
  <c r="M21" i="12"/>
  <c r="AO21" i="12"/>
  <c r="Y20" i="12"/>
  <c r="Y21" i="12" l="1"/>
  <c r="X21" i="12" s="1"/>
  <c r="L25" i="12"/>
  <c r="K25" i="12" s="1"/>
  <c r="H26" i="5"/>
  <c r="B26" i="5"/>
  <c r="C27" i="5" s="1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W26" i="5"/>
  <c r="H26" i="12" s="1"/>
  <c r="G26" i="5"/>
  <c r="S11" i="10"/>
  <c r="T12" i="10"/>
  <c r="N21" i="12"/>
  <c r="G24" i="12"/>
  <c r="X24" i="5"/>
  <c r="B27" i="7"/>
  <c r="C28" i="7"/>
  <c r="H25" i="6"/>
  <c r="T25" i="5" s="1"/>
  <c r="X20" i="12"/>
  <c r="W20" i="12"/>
  <c r="R11" i="9"/>
  <c r="S12" i="9"/>
  <c r="T19" i="12"/>
  <c r="U19" i="12"/>
  <c r="V19" i="12"/>
  <c r="A27" i="12" l="1"/>
  <c r="W21" i="12"/>
  <c r="T21" i="12" s="1"/>
  <c r="L26" i="12"/>
  <c r="K26" i="12" s="1"/>
  <c r="AE27" i="5"/>
  <c r="H27" i="5"/>
  <c r="G27" i="5"/>
  <c r="W27" i="5"/>
  <c r="H27" i="12" s="1"/>
  <c r="F27" i="5"/>
  <c r="E27" i="5"/>
  <c r="C28" i="5"/>
  <c r="N28" i="5" s="1"/>
  <c r="B27" i="6"/>
  <c r="AD27" i="5"/>
  <c r="N27" i="5"/>
  <c r="D27" i="6" s="1"/>
  <c r="B27" i="5"/>
  <c r="T11" i="10"/>
  <c r="U12" i="10"/>
  <c r="H26" i="6"/>
  <c r="T26" i="5" s="1"/>
  <c r="T12" i="9"/>
  <c r="S11" i="9"/>
  <c r="U20" i="12"/>
  <c r="V20" i="12"/>
  <c r="T20" i="12"/>
  <c r="G25" i="12"/>
  <c r="X25" i="5"/>
  <c r="C29" i="7"/>
  <c r="B28" i="7"/>
  <c r="AM24" i="5"/>
  <c r="L24" i="5"/>
  <c r="I24" i="12"/>
  <c r="Z24" i="5"/>
  <c r="V21" i="12" l="1"/>
  <c r="U21" i="12"/>
  <c r="W28" i="5"/>
  <c r="H28" i="12" s="1"/>
  <c r="C29" i="5"/>
  <c r="J29" i="5" s="1"/>
  <c r="H28" i="5"/>
  <c r="B28" i="5"/>
  <c r="G28" i="5"/>
  <c r="E28" i="5"/>
  <c r="AE28" i="5"/>
  <c r="A28" i="12"/>
  <c r="F28" i="5"/>
  <c r="AD28" i="5"/>
  <c r="B28" i="6"/>
  <c r="V12" i="10"/>
  <c r="U11" i="10"/>
  <c r="C24" i="12"/>
  <c r="O24" i="12"/>
  <c r="M24" i="12"/>
  <c r="AO24" i="12"/>
  <c r="D28" i="6"/>
  <c r="C30" i="7"/>
  <c r="B29" i="7"/>
  <c r="U12" i="9"/>
  <c r="T11" i="9"/>
  <c r="H27" i="6"/>
  <c r="T27" i="5" s="1"/>
  <c r="AB24" i="5"/>
  <c r="C24" i="6"/>
  <c r="L25" i="5"/>
  <c r="I25" i="12"/>
  <c r="AM25" i="5"/>
  <c r="Z25" i="5"/>
  <c r="G26" i="12"/>
  <c r="X26" i="5"/>
  <c r="F29" i="5" l="1"/>
  <c r="B29" i="6"/>
  <c r="Y24" i="12"/>
  <c r="X24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B25" i="5"/>
  <c r="C25" i="6"/>
  <c r="G27" i="12"/>
  <c r="L26" i="5"/>
  <c r="AM26" i="5"/>
  <c r="I26" i="12"/>
  <c r="Z26" i="5"/>
  <c r="C25" i="12"/>
  <c r="M25" i="12"/>
  <c r="AO25" i="12"/>
  <c r="O25" i="12"/>
  <c r="V12" i="9"/>
  <c r="U11" i="9"/>
  <c r="B30" i="7"/>
  <c r="C31" i="7"/>
  <c r="H28" i="6"/>
  <c r="T28" i="5" s="1"/>
  <c r="W24" i="12" l="1"/>
  <c r="V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W11" i="10"/>
  <c r="X12" i="10"/>
  <c r="Y25" i="12"/>
  <c r="W25" i="12" s="1"/>
  <c r="W12" i="9"/>
  <c r="V11" i="9"/>
  <c r="G28" i="12"/>
  <c r="B31" i="7"/>
  <c r="C32" i="7"/>
  <c r="AB26" i="5"/>
  <c r="C26" i="12"/>
  <c r="O26" i="12"/>
  <c r="M26" i="12"/>
  <c r="AO26" i="12"/>
  <c r="C26" i="6"/>
  <c r="H29" i="6"/>
  <c r="T29" i="5" s="1"/>
  <c r="U24" i="12" l="1"/>
  <c r="T24" i="12"/>
  <c r="E31" i="5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K31" i="5"/>
  <c r="B31" i="6"/>
  <c r="N31" i="5"/>
  <c r="D31" i="6" s="1"/>
  <c r="A31" i="12"/>
  <c r="L31" i="12" s="1"/>
  <c r="W31" i="5"/>
  <c r="H31" i="12" s="1"/>
  <c r="H31" i="5"/>
  <c r="J30" i="12"/>
  <c r="K30" i="12" s="1"/>
  <c r="Y12" i="10"/>
  <c r="X11" i="10"/>
  <c r="X25" i="12"/>
  <c r="H30" i="6"/>
  <c r="T30" i="5" s="1"/>
  <c r="G29" i="12"/>
  <c r="X29" i="5"/>
  <c r="N26" i="12"/>
  <c r="B32" i="7"/>
  <c r="C33" i="7"/>
  <c r="U25" i="12"/>
  <c r="T25" i="12"/>
  <c r="V25" i="12"/>
  <c r="W11" i="9"/>
  <c r="X12" i="9"/>
  <c r="X26" i="12" l="1"/>
  <c r="C33" i="5"/>
  <c r="W33" i="5" s="1"/>
  <c r="H33" i="12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Y11" i="10"/>
  <c r="Z12" i="10"/>
  <c r="T26" i="12"/>
  <c r="U26" i="12"/>
  <c r="V26" i="12"/>
  <c r="L29" i="5"/>
  <c r="AM29" i="5"/>
  <c r="I29" i="12"/>
  <c r="Z29" i="5"/>
  <c r="X11" i="9"/>
  <c r="Y12" i="9"/>
  <c r="C34" i="7"/>
  <c r="B33" i="7"/>
  <c r="G30" i="12"/>
  <c r="X30" i="5"/>
  <c r="H31" i="6"/>
  <c r="T31" i="5" s="1"/>
  <c r="N33" i="5" l="1"/>
  <c r="D33" i="6" s="1"/>
  <c r="K33" i="5"/>
  <c r="AE33" i="5"/>
  <c r="H33" i="5"/>
  <c r="AD33" i="5"/>
  <c r="B33" i="6"/>
  <c r="A33" i="12"/>
  <c r="L33" i="12" s="1"/>
  <c r="B33" i="5"/>
  <c r="D33" i="5"/>
  <c r="B33" i="12" s="1"/>
  <c r="J33" i="5"/>
  <c r="G33" i="5"/>
  <c r="E33" i="5"/>
  <c r="F33" i="5"/>
  <c r="Z11" i="10"/>
  <c r="AA12" i="10"/>
  <c r="H32" i="6"/>
  <c r="T32" i="5" s="1"/>
  <c r="G32" i="12" s="1"/>
  <c r="Y11" i="9"/>
  <c r="Z12" i="9"/>
  <c r="AB29" i="5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C34" i="5" l="1"/>
  <c r="F34" i="5" s="1"/>
  <c r="J33" i="12"/>
  <c r="K33" i="12" s="1"/>
  <c r="Y29" i="12"/>
  <c r="X29" i="12" s="1"/>
  <c r="AB12" i="10"/>
  <c r="AA11" i="10"/>
  <c r="B35" i="7"/>
  <c r="C36" i="7"/>
  <c r="C30" i="12"/>
  <c r="O30" i="12"/>
  <c r="AO30" i="12"/>
  <c r="M30" i="12"/>
  <c r="AM31" i="5"/>
  <c r="L31" i="5"/>
  <c r="I31" i="12"/>
  <c r="Z31" i="5"/>
  <c r="AA12" i="9"/>
  <c r="Z11" i="9"/>
  <c r="N29" i="12"/>
  <c r="AB30" i="5"/>
  <c r="C30" i="6"/>
  <c r="H33" i="6"/>
  <c r="T33" i="5" s="1"/>
  <c r="H34" i="5" l="1"/>
  <c r="B34" i="5"/>
  <c r="W34" i="5"/>
  <c r="H34" i="12" s="1"/>
  <c r="N34" i="5"/>
  <c r="D34" i="6" s="1"/>
  <c r="H34" i="6" s="1"/>
  <c r="T34" i="5" s="1"/>
  <c r="A34" i="12"/>
  <c r="C35" i="5"/>
  <c r="G34" i="5"/>
  <c r="AD34" i="5"/>
  <c r="AE34" i="5"/>
  <c r="B34" i="6"/>
  <c r="A34" i="6" s="1"/>
  <c r="E34" i="5"/>
  <c r="W29" i="12"/>
  <c r="V29" i="12" s="1"/>
  <c r="AB11" i="10"/>
  <c r="AC12" i="10"/>
  <c r="Y30" i="12"/>
  <c r="W30" i="12" s="1"/>
  <c r="C31" i="12"/>
  <c r="M31" i="12"/>
  <c r="AO31" i="12"/>
  <c r="O31" i="12"/>
  <c r="G33" i="12"/>
  <c r="X33" i="5"/>
  <c r="AA11" i="9"/>
  <c r="AB12" i="9"/>
  <c r="AB31" i="5"/>
  <c r="C31" i="6"/>
  <c r="N30" i="12"/>
  <c r="B36" i="7"/>
  <c r="C37" i="7"/>
  <c r="W35" i="5" l="1"/>
  <c r="H35" i="12" s="1"/>
  <c r="AD35" i="5"/>
  <c r="E35" i="5"/>
  <c r="AE35" i="5"/>
  <c r="B35" i="6"/>
  <c r="F35" i="5"/>
  <c r="A35" i="12"/>
  <c r="B35" i="5"/>
  <c r="N35" i="5"/>
  <c r="D35" i="6" s="1"/>
  <c r="H35" i="6" s="1"/>
  <c r="T35" i="5" s="1"/>
  <c r="G35" i="5"/>
  <c r="H35" i="5"/>
  <c r="C36" i="5"/>
  <c r="N31" i="12"/>
  <c r="T29" i="12"/>
  <c r="U29" i="12"/>
  <c r="X30" i="12"/>
  <c r="Y31" i="12"/>
  <c r="X31" i="12" s="1"/>
  <c r="AD12" i="10"/>
  <c r="AC11" i="10"/>
  <c r="AC12" i="9"/>
  <c r="AB11" i="9"/>
  <c r="AM33" i="5"/>
  <c r="I33" i="12"/>
  <c r="L33" i="5"/>
  <c r="Z33" i="5"/>
  <c r="B37" i="7"/>
  <c r="C38" i="7"/>
  <c r="T30" i="12"/>
  <c r="V30" i="12"/>
  <c r="U30" i="12"/>
  <c r="M34" i="6"/>
  <c r="G34" i="12"/>
  <c r="A35" i="6" l="1"/>
  <c r="AD36" i="5"/>
  <c r="E36" i="5"/>
  <c r="H36" i="5"/>
  <c r="G36" i="5"/>
  <c r="N36" i="5"/>
  <c r="D36" i="6" s="1"/>
  <c r="H36" i="6" s="1"/>
  <c r="T36" i="5" s="1"/>
  <c r="W36" i="5"/>
  <c r="H36" i="12" s="1"/>
  <c r="J36" i="5"/>
  <c r="A36" i="12"/>
  <c r="B36" i="5"/>
  <c r="D36" i="5"/>
  <c r="B36" i="12" s="1"/>
  <c r="B36" i="6"/>
  <c r="K36" i="5"/>
  <c r="F36" i="5"/>
  <c r="AE36" i="5"/>
  <c r="C37" i="5"/>
  <c r="W31" i="12"/>
  <c r="U31" i="12" s="1"/>
  <c r="AD11" i="10"/>
  <c r="AE12" i="10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C33" i="6"/>
  <c r="O33" i="5"/>
  <c r="AC11" i="9"/>
  <c r="AD12" i="9"/>
  <c r="B38" i="7"/>
  <c r="C39" i="7"/>
  <c r="AA33" i="5"/>
  <c r="AB33" i="5"/>
  <c r="C33" i="12"/>
  <c r="M33" i="12"/>
  <c r="AO33" i="12"/>
  <c r="O33" i="12"/>
  <c r="A36" i="6" l="1"/>
  <c r="K37" i="5"/>
  <c r="B37" i="5"/>
  <c r="N37" i="5"/>
  <c r="D37" i="6" s="1"/>
  <c r="H37" i="6" s="1"/>
  <c r="T37" i="5" s="1"/>
  <c r="H37" i="5"/>
  <c r="AE37" i="5"/>
  <c r="AD37" i="5"/>
  <c r="B37" i="6"/>
  <c r="D37" i="5"/>
  <c r="B37" i="12" s="1"/>
  <c r="W37" i="5"/>
  <c r="H37" i="12" s="1"/>
  <c r="C38" i="5"/>
  <c r="A37" i="12"/>
  <c r="E37" i="5"/>
  <c r="F37" i="5"/>
  <c r="J37" i="5"/>
  <c r="G37" i="5"/>
  <c r="J36" i="12"/>
  <c r="L36" i="12"/>
  <c r="N33" i="12"/>
  <c r="V31" i="12"/>
  <c r="T31" i="12"/>
  <c r="AE11" i="10"/>
  <c r="AF12" i="10"/>
  <c r="AF11" i="10" s="1"/>
  <c r="Y33" i="12"/>
  <c r="W33" i="12" s="1"/>
  <c r="G36" i="12"/>
  <c r="X36" i="5"/>
  <c r="C40" i="7"/>
  <c r="B39" i="7"/>
  <c r="AE12" i="9"/>
  <c r="AE11" i="9" s="1"/>
  <c r="AD11" i="9"/>
  <c r="E33" i="6"/>
  <c r="D33" i="12"/>
  <c r="A37" i="6" l="1"/>
  <c r="J37" i="12"/>
  <c r="L37" i="12"/>
  <c r="E38" i="5"/>
  <c r="K38" i="5"/>
  <c r="N38" i="5"/>
  <c r="D38" i="6" s="1"/>
  <c r="H38" i="6" s="1"/>
  <c r="T38" i="5" s="1"/>
  <c r="AD38" i="5"/>
  <c r="D38" i="5"/>
  <c r="B38" i="12" s="1"/>
  <c r="F38" i="5"/>
  <c r="AE38" i="5"/>
  <c r="J38" i="5"/>
  <c r="W38" i="5"/>
  <c r="H38" i="12" s="1"/>
  <c r="G38" i="5"/>
  <c r="H38" i="5"/>
  <c r="B38" i="5"/>
  <c r="C39" i="5"/>
  <c r="A38" i="12"/>
  <c r="B38" i="6"/>
  <c r="K36" i="12"/>
  <c r="X33" i="12"/>
  <c r="B40" i="7"/>
  <c r="C41" i="7"/>
  <c r="V33" i="12"/>
  <c r="U33" i="12"/>
  <c r="T33" i="12"/>
  <c r="AM36" i="5"/>
  <c r="I36" i="12"/>
  <c r="L36" i="5"/>
  <c r="Z36" i="5"/>
  <c r="G37" i="12"/>
  <c r="X37" i="5"/>
  <c r="A38" i="6" l="1"/>
  <c r="K37" i="12"/>
  <c r="C40" i="5"/>
  <c r="F39" i="5"/>
  <c r="B39" i="5"/>
  <c r="AE39" i="5"/>
  <c r="E39" i="5"/>
  <c r="K39" i="5"/>
  <c r="G39" i="5"/>
  <c r="J39" i="5"/>
  <c r="N39" i="5"/>
  <c r="D39" i="6" s="1"/>
  <c r="H39" i="6" s="1"/>
  <c r="T39" i="5" s="1"/>
  <c r="A39" i="12"/>
  <c r="H39" i="5"/>
  <c r="D39" i="5"/>
  <c r="B39" i="12" s="1"/>
  <c r="B39" i="6"/>
  <c r="AD39" i="5"/>
  <c r="J38" i="12"/>
  <c r="L38" i="12"/>
  <c r="G38" i="12"/>
  <c r="X38" i="5"/>
  <c r="L37" i="5"/>
  <c r="I37" i="12"/>
  <c r="AM37" i="5"/>
  <c r="Z37" i="5"/>
  <c r="C36" i="12"/>
  <c r="M36" i="12"/>
  <c r="O36" i="12"/>
  <c r="AO36" i="12"/>
  <c r="C42" i="7"/>
  <c r="B41" i="7"/>
  <c r="AB36" i="5"/>
  <c r="C36" i="6"/>
  <c r="A39" i="6" l="1"/>
  <c r="K38" i="12"/>
  <c r="F40" i="5"/>
  <c r="K40" i="5"/>
  <c r="AE40" i="5"/>
  <c r="A40" i="12"/>
  <c r="E40" i="5"/>
  <c r="H40" i="5"/>
  <c r="J40" i="5"/>
  <c r="C41" i="5"/>
  <c r="B40" i="5"/>
  <c r="D40" i="5"/>
  <c r="B40" i="12" s="1"/>
  <c r="B40" i="6"/>
  <c r="G40" i="5"/>
  <c r="N40" i="5"/>
  <c r="D40" i="6" s="1"/>
  <c r="H40" i="6" s="1"/>
  <c r="T40" i="5" s="1"/>
  <c r="AD40" i="5"/>
  <c r="J39" i="12"/>
  <c r="L39" i="12"/>
  <c r="Y36" i="12"/>
  <c r="W36" i="12" s="1"/>
  <c r="B42" i="7"/>
  <c r="C43" i="7"/>
  <c r="AB37" i="5"/>
  <c r="C37" i="12"/>
  <c r="O37" i="12"/>
  <c r="M37" i="12"/>
  <c r="AO37" i="12"/>
  <c r="L38" i="5"/>
  <c r="AM38" i="5"/>
  <c r="I38" i="12"/>
  <c r="Z38" i="5"/>
  <c r="G39" i="12"/>
  <c r="N36" i="12"/>
  <c r="C37" i="6"/>
  <c r="K39" i="12" l="1"/>
  <c r="A40" i="6"/>
  <c r="AE41" i="5"/>
  <c r="J41" i="5"/>
  <c r="A41" i="12"/>
  <c r="B41" i="5"/>
  <c r="C42" i="5" s="1"/>
  <c r="F41" i="5"/>
  <c r="W41" i="5"/>
  <c r="H41" i="12" s="1"/>
  <c r="K41" i="5"/>
  <c r="E41" i="5"/>
  <c r="D41" i="5"/>
  <c r="B41" i="12" s="1"/>
  <c r="B41" i="6"/>
  <c r="H41" i="5"/>
  <c r="G41" i="5"/>
  <c r="N41" i="5"/>
  <c r="D41" i="6" s="1"/>
  <c r="H41" i="6" s="1"/>
  <c r="T41" i="5" s="1"/>
  <c r="AD41" i="5"/>
  <c r="L40" i="12"/>
  <c r="J40" i="12"/>
  <c r="X36" i="12"/>
  <c r="Y37" i="12"/>
  <c r="X37" i="12" s="1"/>
  <c r="N37" i="12"/>
  <c r="AB38" i="5"/>
  <c r="T36" i="12"/>
  <c r="V36" i="12"/>
  <c r="U36" i="12"/>
  <c r="B43" i="7"/>
  <c r="C44" i="7"/>
  <c r="C38" i="12"/>
  <c r="AO38" i="12"/>
  <c r="O38" i="12"/>
  <c r="M38" i="12"/>
  <c r="C38" i="6"/>
  <c r="G40" i="12"/>
  <c r="K40" i="12" l="1"/>
  <c r="A41" i="6"/>
  <c r="W42" i="5"/>
  <c r="H42" i="12" s="1"/>
  <c r="AE42" i="5"/>
  <c r="B42" i="5"/>
  <c r="C43" i="5" s="1"/>
  <c r="N42" i="5"/>
  <c r="D42" i="6" s="1"/>
  <c r="H42" i="6" s="1"/>
  <c r="T42" i="5" s="1"/>
  <c r="F42" i="5"/>
  <c r="AD42" i="5"/>
  <c r="B42" i="6"/>
  <c r="A42" i="12"/>
  <c r="E42" i="5"/>
  <c r="H42" i="5"/>
  <c r="G42" i="5"/>
  <c r="L41" i="12"/>
  <c r="J41" i="12"/>
  <c r="W37" i="12"/>
  <c r="U37" i="12" s="1"/>
  <c r="N38" i="12"/>
  <c r="G41" i="12"/>
  <c r="X41" i="5"/>
  <c r="Y38" i="12"/>
  <c r="B44" i="7"/>
  <c r="C45" i="7"/>
  <c r="A42" i="6" l="1"/>
  <c r="M42" i="6" s="1"/>
  <c r="AS42" i="6" s="1"/>
  <c r="K41" i="12"/>
  <c r="W43" i="5"/>
  <c r="H43" i="12" s="1"/>
  <c r="E43" i="5"/>
  <c r="A43" i="12"/>
  <c r="AE43" i="5"/>
  <c r="H43" i="5"/>
  <c r="B43" i="6"/>
  <c r="N43" i="5"/>
  <c r="D43" i="6" s="1"/>
  <c r="H43" i="6" s="1"/>
  <c r="T43" i="5" s="1"/>
  <c r="G43" i="12" s="1"/>
  <c r="C44" i="5"/>
  <c r="G43" i="5"/>
  <c r="F43" i="5"/>
  <c r="AD43" i="5"/>
  <c r="B43" i="5"/>
  <c r="V37" i="12"/>
  <c r="T37" i="12"/>
  <c r="BC42" i="6"/>
  <c r="AU42" i="6"/>
  <c r="AP42" i="6"/>
  <c r="AV42" i="6"/>
  <c r="AY42" i="6"/>
  <c r="AR42" i="6"/>
  <c r="BF42" i="6"/>
  <c r="AN42" i="6"/>
  <c r="AO42" i="6"/>
  <c r="AX42" i="6"/>
  <c r="B45" i="7"/>
  <c r="C46" i="7"/>
  <c r="X38" i="12"/>
  <c r="W38" i="12"/>
  <c r="BG42" i="6"/>
  <c r="BA42" i="6"/>
  <c r="BB42" i="6"/>
  <c r="G42" i="12"/>
  <c r="AM42" i="6"/>
  <c r="BD42" i="6"/>
  <c r="BE42" i="6"/>
  <c r="AZ42" i="6"/>
  <c r="AQ42" i="6"/>
  <c r="AT42" i="6"/>
  <c r="I41" i="12"/>
  <c r="L41" i="5"/>
  <c r="AM41" i="5"/>
  <c r="Z41" i="5"/>
  <c r="AK42" i="6" l="1"/>
  <c r="AC42" i="6"/>
  <c r="AH42" i="6"/>
  <c r="AD42" i="6"/>
  <c r="AG42" i="6"/>
  <c r="AI42" i="6"/>
  <c r="AB42" i="6"/>
  <c r="AJ42" i="6"/>
  <c r="AF42" i="6"/>
  <c r="AE42" i="6"/>
  <c r="A43" i="6"/>
  <c r="AE44" i="5"/>
  <c r="B44" i="6"/>
  <c r="B44" i="5"/>
  <c r="H44" i="5"/>
  <c r="K44" i="5"/>
  <c r="A44" i="12"/>
  <c r="N44" i="5"/>
  <c r="D44" i="6" s="1"/>
  <c r="H44" i="6" s="1"/>
  <c r="T44" i="5" s="1"/>
  <c r="E44" i="5"/>
  <c r="D44" i="5"/>
  <c r="B44" i="12" s="1"/>
  <c r="AD44" i="5"/>
  <c r="F44" i="5"/>
  <c r="G44" i="5"/>
  <c r="W44" i="5"/>
  <c r="H44" i="12" s="1"/>
  <c r="C45" i="5"/>
  <c r="J44" i="5"/>
  <c r="AA41" i="5"/>
  <c r="AB41" i="5"/>
  <c r="C41" i="12"/>
  <c r="M41" i="12"/>
  <c r="AO41" i="12"/>
  <c r="O41" i="12"/>
  <c r="T38" i="12"/>
  <c r="V38" i="12"/>
  <c r="U38" i="12"/>
  <c r="C47" i="7"/>
  <c r="B46" i="7"/>
  <c r="C41" i="6"/>
  <c r="O41" i="5"/>
  <c r="A44" i="6" l="1"/>
  <c r="N45" i="5"/>
  <c r="D45" i="6" s="1"/>
  <c r="H45" i="6" s="1"/>
  <c r="T45" i="5" s="1"/>
  <c r="AE45" i="5"/>
  <c r="AD45" i="5"/>
  <c r="F45" i="5"/>
  <c r="G45" i="5"/>
  <c r="H45" i="5"/>
  <c r="A45" i="12"/>
  <c r="B45" i="5"/>
  <c r="E45" i="5"/>
  <c r="D45" i="5"/>
  <c r="B45" i="12" s="1"/>
  <c r="J45" i="5"/>
  <c r="C46" i="5"/>
  <c r="K45" i="5"/>
  <c r="B45" i="6"/>
  <c r="W45" i="5"/>
  <c r="H45" i="12" s="1"/>
  <c r="L44" i="12"/>
  <c r="J44" i="12"/>
  <c r="N41" i="12"/>
  <c r="D41" i="12"/>
  <c r="E41" i="6"/>
  <c r="C48" i="7"/>
  <c r="B47" i="7"/>
  <c r="G44" i="12"/>
  <c r="X44" i="5"/>
  <c r="Y41" i="12"/>
  <c r="A45" i="6" l="1"/>
  <c r="K44" i="12"/>
  <c r="F46" i="5"/>
  <c r="A46" i="12"/>
  <c r="C47" i="5"/>
  <c r="E46" i="5"/>
  <c r="K46" i="5"/>
  <c r="N46" i="5"/>
  <c r="D46" i="6" s="1"/>
  <c r="H46" i="6" s="1"/>
  <c r="T46" i="5" s="1"/>
  <c r="G46" i="5"/>
  <c r="W46" i="5"/>
  <c r="H46" i="12" s="1"/>
  <c r="AD46" i="5"/>
  <c r="B46" i="6"/>
  <c r="H46" i="5"/>
  <c r="AE46" i="5"/>
  <c r="J46" i="5"/>
  <c r="D46" i="5"/>
  <c r="B46" i="12" s="1"/>
  <c r="B46" i="5"/>
  <c r="L45" i="12"/>
  <c r="J45" i="12"/>
  <c r="W41" i="12"/>
  <c r="X41" i="12"/>
  <c r="G45" i="12"/>
  <c r="X45" i="5"/>
  <c r="AM44" i="5"/>
  <c r="I44" i="12"/>
  <c r="L44" i="5"/>
  <c r="Z44" i="5"/>
  <c r="B48" i="7"/>
  <c r="C49" i="7"/>
  <c r="A46" i="6" l="1"/>
  <c r="K45" i="12"/>
  <c r="F47" i="5"/>
  <c r="C48" i="5"/>
  <c r="B47" i="5"/>
  <c r="N47" i="5"/>
  <c r="D47" i="6" s="1"/>
  <c r="H47" i="6" s="1"/>
  <c r="T47" i="5" s="1"/>
  <c r="W47" i="5"/>
  <c r="H47" i="12" s="1"/>
  <c r="K47" i="5"/>
  <c r="B47" i="6"/>
  <c r="AD47" i="5"/>
  <c r="AE47" i="5"/>
  <c r="J47" i="5"/>
  <c r="E47" i="5"/>
  <c r="A47" i="12"/>
  <c r="G47" i="5"/>
  <c r="D47" i="5"/>
  <c r="B47" i="12" s="1"/>
  <c r="H47" i="5"/>
  <c r="J46" i="12"/>
  <c r="L46" i="12"/>
  <c r="B49" i="7"/>
  <c r="C50" i="7"/>
  <c r="C44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47" i="6" l="1"/>
  <c r="K46" i="12"/>
  <c r="L47" i="12"/>
  <c r="J47" i="12"/>
  <c r="AD48" i="5"/>
  <c r="C49" i="5"/>
  <c r="H48" i="5"/>
  <c r="N48" i="5"/>
  <c r="D48" i="6" s="1"/>
  <c r="H48" i="6" s="1"/>
  <c r="T48" i="5" s="1"/>
  <c r="B48" i="5"/>
  <c r="W48" i="5"/>
  <c r="H48" i="12" s="1"/>
  <c r="J48" i="5"/>
  <c r="G48" i="5"/>
  <c r="A48" i="12"/>
  <c r="E48" i="5"/>
  <c r="AE48" i="5"/>
  <c r="F48" i="5"/>
  <c r="D48" i="5"/>
  <c r="B48" i="12" s="1"/>
  <c r="K48" i="5"/>
  <c r="B48" i="6"/>
  <c r="N44" i="12"/>
  <c r="C45" i="6"/>
  <c r="AM46" i="5"/>
  <c r="I46" i="12"/>
  <c r="L46" i="5"/>
  <c r="Z46" i="5"/>
  <c r="B50" i="7"/>
  <c r="C51" i="7"/>
  <c r="AB45" i="5"/>
  <c r="C45" i="12"/>
  <c r="O45" i="12"/>
  <c r="M45" i="12"/>
  <c r="AO45" i="12"/>
  <c r="Y44" i="12"/>
  <c r="G47" i="12"/>
  <c r="X47" i="5"/>
  <c r="K47" i="12" l="1"/>
  <c r="A48" i="6"/>
  <c r="AE49" i="5"/>
  <c r="A49" i="12"/>
  <c r="F49" i="5"/>
  <c r="W49" i="5"/>
  <c r="H49" i="12" s="1"/>
  <c r="H49" i="5"/>
  <c r="B49" i="6"/>
  <c r="AD49" i="5"/>
  <c r="D49" i="5"/>
  <c r="B49" i="12" s="1"/>
  <c r="N49" i="5"/>
  <c r="D49" i="6" s="1"/>
  <c r="H49" i="6" s="1"/>
  <c r="T49" i="5" s="1"/>
  <c r="K49" i="5"/>
  <c r="B49" i="5"/>
  <c r="C50" i="5" s="1"/>
  <c r="E49" i="5"/>
  <c r="G49" i="5"/>
  <c r="J49" i="5"/>
  <c r="J48" i="12"/>
  <c r="L48" i="12"/>
  <c r="Y45" i="12"/>
  <c r="X45" i="12" s="1"/>
  <c r="N45" i="12"/>
  <c r="G48" i="12"/>
  <c r="X48" i="5"/>
  <c r="C46" i="12"/>
  <c r="O46" i="12"/>
  <c r="AO46" i="12"/>
  <c r="M46" i="12"/>
  <c r="I47" i="12"/>
  <c r="AM47" i="5"/>
  <c r="L47" i="5"/>
  <c r="Z47" i="5"/>
  <c r="W44" i="12"/>
  <c r="X44" i="12"/>
  <c r="C52" i="7"/>
  <c r="B51" i="7"/>
  <c r="AB46" i="5"/>
  <c r="C46" i="6"/>
  <c r="K48" i="12" l="1"/>
  <c r="A49" i="6"/>
  <c r="N50" i="5"/>
  <c r="D50" i="6" s="1"/>
  <c r="H50" i="6" s="1"/>
  <c r="T50" i="5" s="1"/>
  <c r="A50" i="12"/>
  <c r="C51" i="5"/>
  <c r="W50" i="5"/>
  <c r="H50" i="12" s="1"/>
  <c r="B50" i="5"/>
  <c r="G50" i="5"/>
  <c r="B50" i="6"/>
  <c r="F50" i="5"/>
  <c r="AE50" i="5"/>
  <c r="AD50" i="5"/>
  <c r="H50" i="5"/>
  <c r="E50" i="5"/>
  <c r="L49" i="12"/>
  <c r="J49" i="12"/>
  <c r="W45" i="12"/>
  <c r="T45" i="12" s="1"/>
  <c r="AB47" i="5"/>
  <c r="N46" i="12"/>
  <c r="L48" i="5"/>
  <c r="I48" i="12"/>
  <c r="AM48" i="5"/>
  <c r="Z48" i="5"/>
  <c r="C53" i="7"/>
  <c r="B52" i="7"/>
  <c r="V44" i="12"/>
  <c r="T44" i="12"/>
  <c r="U44" i="12"/>
  <c r="C47" i="6"/>
  <c r="C47" i="12"/>
  <c r="M47" i="12"/>
  <c r="O47" i="12"/>
  <c r="AO47" i="12"/>
  <c r="Y46" i="12"/>
  <c r="G49" i="12"/>
  <c r="X49" i="5"/>
  <c r="A50" i="6" l="1"/>
  <c r="K49" i="12"/>
  <c r="AD51" i="5"/>
  <c r="J51" i="5"/>
  <c r="A51" i="12"/>
  <c r="B51" i="5"/>
  <c r="C52" i="5" s="1"/>
  <c r="K51" i="5"/>
  <c r="AE51" i="5"/>
  <c r="W51" i="5"/>
  <c r="H51" i="12" s="1"/>
  <c r="F51" i="5"/>
  <c r="E51" i="5"/>
  <c r="N51" i="5"/>
  <c r="D51" i="6" s="1"/>
  <c r="H51" i="5"/>
  <c r="B51" i="6"/>
  <c r="D51" i="5"/>
  <c r="B51" i="12" s="1"/>
  <c r="G51" i="5"/>
  <c r="V45" i="12"/>
  <c r="U45" i="12"/>
  <c r="N47" i="12"/>
  <c r="X46" i="12"/>
  <c r="W46" i="12"/>
  <c r="G50" i="12"/>
  <c r="AB48" i="5"/>
  <c r="C48" i="12"/>
  <c r="AO48" i="12"/>
  <c r="M48" i="12"/>
  <c r="O48" i="12"/>
  <c r="I49" i="12"/>
  <c r="AM49" i="5"/>
  <c r="L49" i="5"/>
  <c r="Z49" i="5"/>
  <c r="Y47" i="12"/>
  <c r="C54" i="7"/>
  <c r="B53" i="7"/>
  <c r="C48" i="6"/>
  <c r="A51" i="6" l="1"/>
  <c r="H51" i="6"/>
  <c r="T51" i="5" s="1"/>
  <c r="X51" i="5" s="1"/>
  <c r="J51" i="12"/>
  <c r="L51" i="12"/>
  <c r="G52" i="5"/>
  <c r="N52" i="5"/>
  <c r="D52" i="6" s="1"/>
  <c r="H52" i="6" s="1"/>
  <c r="T52" i="5" s="1"/>
  <c r="A52" i="12"/>
  <c r="B52" i="5"/>
  <c r="C53" i="5" s="1"/>
  <c r="H52" i="5"/>
  <c r="E52" i="5"/>
  <c r="AE52" i="5"/>
  <c r="W52" i="5"/>
  <c r="H52" i="12" s="1"/>
  <c r="B52" i="6"/>
  <c r="F52" i="5"/>
  <c r="AD52" i="5"/>
  <c r="N48" i="12"/>
  <c r="W47" i="12"/>
  <c r="X47" i="12"/>
  <c r="C49" i="6"/>
  <c r="C49" i="12"/>
  <c r="M49" i="12"/>
  <c r="AO49" i="12"/>
  <c r="O49" i="12"/>
  <c r="Y48" i="12"/>
  <c r="U46" i="12"/>
  <c r="V46" i="12"/>
  <c r="T46" i="12"/>
  <c r="C55" i="7"/>
  <c r="B54" i="7"/>
  <c r="AB49" i="5"/>
  <c r="G51" i="12" l="1"/>
  <c r="K51" i="12"/>
  <c r="A52" i="6"/>
  <c r="AE53" i="5"/>
  <c r="A53" i="12"/>
  <c r="N53" i="5"/>
  <c r="D53" i="6" s="1"/>
  <c r="H53" i="6" s="1"/>
  <c r="T53" i="5" s="1"/>
  <c r="G53" i="12" s="1"/>
  <c r="B53" i="6"/>
  <c r="B53" i="5"/>
  <c r="H53" i="5"/>
  <c r="AD53" i="5"/>
  <c r="G53" i="5"/>
  <c r="F53" i="5"/>
  <c r="C54" i="5"/>
  <c r="E53" i="5"/>
  <c r="N49" i="12"/>
  <c r="Y49" i="12"/>
  <c r="X49" i="12" s="1"/>
  <c r="W48" i="12"/>
  <c r="X48" i="12"/>
  <c r="V47" i="12"/>
  <c r="U47" i="12"/>
  <c r="T47" i="12"/>
  <c r="B55" i="7"/>
  <c r="C56" i="7"/>
  <c r="AM51" i="5"/>
  <c r="L51" i="5"/>
  <c r="I51" i="12"/>
  <c r="Z51" i="5"/>
  <c r="G52" i="12"/>
  <c r="A53" i="6" l="1"/>
  <c r="E54" i="5"/>
  <c r="A54" i="12"/>
  <c r="N54" i="5"/>
  <c r="D54" i="6" s="1"/>
  <c r="H54" i="6" s="1"/>
  <c r="T54" i="5" s="1"/>
  <c r="F54" i="5"/>
  <c r="C55" i="5"/>
  <c r="D54" i="5"/>
  <c r="B54" i="12" s="1"/>
  <c r="AE54" i="5"/>
  <c r="B54" i="6"/>
  <c r="K54" i="5"/>
  <c r="J54" i="5"/>
  <c r="B54" i="5"/>
  <c r="AD54" i="5"/>
  <c r="G54" i="5"/>
  <c r="H54" i="5"/>
  <c r="W49" i="12"/>
  <c r="U49" i="12" s="1"/>
  <c r="AB51" i="5"/>
  <c r="C51" i="12"/>
  <c r="M51" i="12"/>
  <c r="O51" i="12"/>
  <c r="AO51" i="12"/>
  <c r="C51" i="6"/>
  <c r="C57" i="7"/>
  <c r="B56" i="7"/>
  <c r="V48" i="12"/>
  <c r="T48" i="12"/>
  <c r="U48" i="12"/>
  <c r="A54" i="6" l="1"/>
  <c r="F55" i="5"/>
  <c r="H55" i="5"/>
  <c r="C56" i="5"/>
  <c r="AE55" i="5"/>
  <c r="K55" i="5"/>
  <c r="E55" i="5"/>
  <c r="AD55" i="5"/>
  <c r="B55" i="5"/>
  <c r="N55" i="5"/>
  <c r="D55" i="6" s="1"/>
  <c r="H55" i="6" s="1"/>
  <c r="T55" i="5" s="1"/>
  <c r="J55" i="5"/>
  <c r="G55" i="5"/>
  <c r="A55" i="12"/>
  <c r="D55" i="5"/>
  <c r="B55" i="12" s="1"/>
  <c r="B55" i="6"/>
  <c r="J54" i="12"/>
  <c r="L54" i="12"/>
  <c r="T49" i="12"/>
  <c r="V49" i="12"/>
  <c r="Y51" i="12"/>
  <c r="W51" i="12" s="1"/>
  <c r="G54" i="12"/>
  <c r="B57" i="7"/>
  <c r="C58" i="7"/>
  <c r="N51" i="12"/>
  <c r="A55" i="6" l="1"/>
  <c r="H56" i="5"/>
  <c r="W56" i="5"/>
  <c r="H56" i="12" s="1"/>
  <c r="C57" i="5"/>
  <c r="D56" i="5"/>
  <c r="B56" i="12" s="1"/>
  <c r="B56" i="5"/>
  <c r="AD56" i="5"/>
  <c r="E56" i="5"/>
  <c r="N56" i="5"/>
  <c r="D56" i="6" s="1"/>
  <c r="H56" i="6" s="1"/>
  <c r="T56" i="5" s="1"/>
  <c r="K56" i="5"/>
  <c r="B56" i="6"/>
  <c r="J56" i="5"/>
  <c r="F56" i="5"/>
  <c r="AE56" i="5"/>
  <c r="G56" i="5"/>
  <c r="A56" i="12"/>
  <c r="K54" i="12"/>
  <c r="L55" i="12"/>
  <c r="J55" i="12"/>
  <c r="X51" i="12"/>
  <c r="B58" i="7"/>
  <c r="C59" i="7"/>
  <c r="G55" i="12"/>
  <c r="U51" i="12"/>
  <c r="T51" i="12"/>
  <c r="V51" i="12"/>
  <c r="A56" i="6" l="1"/>
  <c r="J56" i="12"/>
  <c r="L56" i="12"/>
  <c r="D57" i="5"/>
  <c r="B57" i="12" s="1"/>
  <c r="J57" i="5"/>
  <c r="A57" i="12"/>
  <c r="F57" i="5"/>
  <c r="B57" i="5"/>
  <c r="G57" i="5"/>
  <c r="N57" i="5"/>
  <c r="D57" i="6" s="1"/>
  <c r="H57" i="6" s="1"/>
  <c r="T57" i="5" s="1"/>
  <c r="K57" i="5"/>
  <c r="W57" i="5"/>
  <c r="H57" i="12" s="1"/>
  <c r="B57" i="6"/>
  <c r="H57" i="5"/>
  <c r="AE57" i="5"/>
  <c r="E57" i="5"/>
  <c r="AD57" i="5"/>
  <c r="C58" i="5"/>
  <c r="K55" i="12"/>
  <c r="B59" i="7"/>
  <c r="C60" i="7"/>
  <c r="G56" i="12"/>
  <c r="X56" i="5"/>
  <c r="K56" i="12" l="1"/>
  <c r="J58" i="5"/>
  <c r="D58" i="5"/>
  <c r="B58" i="12" s="1"/>
  <c r="K58" i="5"/>
  <c r="G58" i="5"/>
  <c r="F58" i="5"/>
  <c r="AE58" i="5"/>
  <c r="H58" i="5"/>
  <c r="W58" i="5"/>
  <c r="H58" i="12" s="1"/>
  <c r="C59" i="5"/>
  <c r="N58" i="5"/>
  <c r="D58" i="6" s="1"/>
  <c r="H58" i="6" s="1"/>
  <c r="T58" i="5" s="1"/>
  <c r="B58" i="5"/>
  <c r="AD58" i="5"/>
  <c r="B58" i="6"/>
  <c r="A58" i="12"/>
  <c r="E58" i="5"/>
  <c r="A57" i="6"/>
  <c r="J57" i="12"/>
  <c r="L57" i="12"/>
  <c r="L56" i="5"/>
  <c r="I56" i="12"/>
  <c r="AM56" i="5"/>
  <c r="Z56" i="5"/>
  <c r="C61" i="7"/>
  <c r="B60" i="7"/>
  <c r="G57" i="12"/>
  <c r="X57" i="5"/>
  <c r="K57" i="12" l="1"/>
  <c r="A58" i="6"/>
  <c r="L58" i="12"/>
  <c r="J58" i="12"/>
  <c r="J59" i="5"/>
  <c r="B59" i="5"/>
  <c r="D59" i="5"/>
  <c r="B59" i="12" s="1"/>
  <c r="AE59" i="5"/>
  <c r="F59" i="5"/>
  <c r="E59" i="5"/>
  <c r="N59" i="5"/>
  <c r="D59" i="6" s="1"/>
  <c r="H59" i="6" s="1"/>
  <c r="T59" i="5" s="1"/>
  <c r="B59" i="6"/>
  <c r="A59" i="12"/>
  <c r="H59" i="5"/>
  <c r="G59" i="5"/>
  <c r="W59" i="5"/>
  <c r="H59" i="12" s="1"/>
  <c r="AD59" i="5"/>
  <c r="K59" i="5"/>
  <c r="C60" i="5"/>
  <c r="AM57" i="5"/>
  <c r="I57" i="12"/>
  <c r="L57" i="5"/>
  <c r="Z57" i="5"/>
  <c r="C62" i="7"/>
  <c r="B61" i="7"/>
  <c r="AB56" i="5"/>
  <c r="C56" i="12"/>
  <c r="M56" i="12"/>
  <c r="O56" i="12"/>
  <c r="AO56" i="12"/>
  <c r="G58" i="12"/>
  <c r="X58" i="5"/>
  <c r="C56" i="6"/>
  <c r="A59" i="6" l="1"/>
  <c r="N60" i="5"/>
  <c r="D60" i="6" s="1"/>
  <c r="H60" i="6" s="1"/>
  <c r="T60" i="5" s="1"/>
  <c r="K60" i="5"/>
  <c r="F60" i="5"/>
  <c r="H60" i="5"/>
  <c r="B60" i="5"/>
  <c r="E60" i="5"/>
  <c r="A60" i="12"/>
  <c r="G60" i="5"/>
  <c r="C61" i="5"/>
  <c r="B60" i="6"/>
  <c r="W60" i="5"/>
  <c r="H60" i="12" s="1"/>
  <c r="D60" i="5"/>
  <c r="B60" i="12" s="1"/>
  <c r="AE60" i="5"/>
  <c r="J60" i="5"/>
  <c r="AD60" i="5"/>
  <c r="K58" i="12"/>
  <c r="J59" i="12"/>
  <c r="L59" i="12"/>
  <c r="Y56" i="12"/>
  <c r="X56" i="12" s="1"/>
  <c r="L58" i="5"/>
  <c r="I58" i="12"/>
  <c r="AM58" i="5"/>
  <c r="Z58" i="5"/>
  <c r="G59" i="12"/>
  <c r="X59" i="5"/>
  <c r="C57" i="12"/>
  <c r="M57" i="12"/>
  <c r="O57" i="12"/>
  <c r="AO57" i="12"/>
  <c r="N56" i="12"/>
  <c r="C63" i="7"/>
  <c r="B62" i="7"/>
  <c r="AA57" i="5"/>
  <c r="AB57" i="5"/>
  <c r="C57" i="6"/>
  <c r="O57" i="5"/>
  <c r="A60" i="6" l="1"/>
  <c r="L60" i="12"/>
  <c r="J60" i="12"/>
  <c r="K59" i="12"/>
  <c r="D61" i="5"/>
  <c r="B61" i="12" s="1"/>
  <c r="G61" i="5"/>
  <c r="C62" i="5"/>
  <c r="B61" i="6"/>
  <c r="AD61" i="5"/>
  <c r="J61" i="5"/>
  <c r="N61" i="5"/>
  <c r="D61" i="6" s="1"/>
  <c r="H61" i="6" s="1"/>
  <c r="T61" i="5" s="1"/>
  <c r="AE61" i="5"/>
  <c r="B61" i="5"/>
  <c r="E61" i="5"/>
  <c r="H61" i="5"/>
  <c r="A61" i="12"/>
  <c r="K61" i="5"/>
  <c r="W61" i="5"/>
  <c r="H61" i="12" s="1"/>
  <c r="F61" i="5"/>
  <c r="W56" i="12"/>
  <c r="U56" i="12" s="1"/>
  <c r="Y57" i="12"/>
  <c r="W57" i="12" s="1"/>
  <c r="C64" i="7"/>
  <c r="A18" i="6" s="1"/>
  <c r="B63" i="7"/>
  <c r="AA58" i="5"/>
  <c r="AB58" i="5"/>
  <c r="C58" i="6"/>
  <c r="O58" i="5"/>
  <c r="E57" i="6"/>
  <c r="D57" i="12"/>
  <c r="N57" i="12"/>
  <c r="I59" i="12"/>
  <c r="AM59" i="5"/>
  <c r="L59" i="5"/>
  <c r="Z59" i="5"/>
  <c r="G60" i="12"/>
  <c r="X60" i="5"/>
  <c r="C58" i="12"/>
  <c r="AO58" i="12"/>
  <c r="M58" i="12"/>
  <c r="O58" i="12"/>
  <c r="A19" i="6" l="1"/>
  <c r="M18" i="6"/>
  <c r="N18" i="6"/>
  <c r="B64" i="7"/>
  <c r="A61" i="6"/>
  <c r="K60" i="12"/>
  <c r="L61" i="12"/>
  <c r="J61" i="12"/>
  <c r="A62" i="12"/>
  <c r="W62" i="5"/>
  <c r="H62" i="12" s="1"/>
  <c r="J62" i="5"/>
  <c r="C63" i="5"/>
  <c r="K62" i="5"/>
  <c r="B62" i="6"/>
  <c r="AE62" i="5"/>
  <c r="D62" i="5"/>
  <c r="B62" i="12" s="1"/>
  <c r="H62" i="5"/>
  <c r="N62" i="5"/>
  <c r="D62" i="6" s="1"/>
  <c r="H62" i="6" s="1"/>
  <c r="T62" i="5" s="1"/>
  <c r="AD62" i="5"/>
  <c r="F62" i="5"/>
  <c r="G62" i="5"/>
  <c r="E62" i="5"/>
  <c r="B62" i="5"/>
  <c r="V56" i="12"/>
  <c r="T56" i="12"/>
  <c r="X57" i="12"/>
  <c r="AM60" i="5"/>
  <c r="I60" i="12"/>
  <c r="L60" i="5"/>
  <c r="Z60" i="5"/>
  <c r="V57" i="12"/>
  <c r="U57" i="12"/>
  <c r="T57" i="12"/>
  <c r="G61" i="12"/>
  <c r="X61" i="5"/>
  <c r="N58" i="12"/>
  <c r="Y58" i="12"/>
  <c r="AB59" i="5"/>
  <c r="AA59" i="5"/>
  <c r="C59" i="6"/>
  <c r="O59" i="5"/>
  <c r="C59" i="12"/>
  <c r="M59" i="12"/>
  <c r="O59" i="12"/>
  <c r="AO59" i="12"/>
  <c r="E58" i="6"/>
  <c r="D58" i="12"/>
  <c r="N19" i="6" l="1"/>
  <c r="M19" i="6"/>
  <c r="A20" i="6"/>
  <c r="AS18" i="6"/>
  <c r="AN18" i="6"/>
  <c r="AY18" i="6"/>
  <c r="BC18" i="6"/>
  <c r="AZ18" i="6"/>
  <c r="AT18" i="6"/>
  <c r="AR18" i="6"/>
  <c r="AX18" i="6"/>
  <c r="AB18" i="6"/>
  <c r="AC18" i="6"/>
  <c r="AE18" i="6"/>
  <c r="BB18" i="6"/>
  <c r="AF18" i="6"/>
  <c r="AM18" i="6"/>
  <c r="AD18" i="6"/>
  <c r="AP18" i="6"/>
  <c r="AO18" i="6"/>
  <c r="AG18" i="6"/>
  <c r="AQ18" i="6"/>
  <c r="BA18" i="6"/>
  <c r="AU18" i="6"/>
  <c r="AH18" i="6"/>
  <c r="BD18" i="6"/>
  <c r="AV18" i="6"/>
  <c r="AI18" i="6"/>
  <c r="BE18" i="6"/>
  <c r="AK18" i="6"/>
  <c r="AJ18" i="6"/>
  <c r="BF18" i="6"/>
  <c r="BG18" i="6"/>
  <c r="A62" i="6"/>
  <c r="L62" i="12"/>
  <c r="J62" i="12"/>
  <c r="B63" i="6"/>
  <c r="E63" i="5"/>
  <c r="W63" i="5"/>
  <c r="H63" i="12" s="1"/>
  <c r="B63" i="5"/>
  <c r="H63" i="5"/>
  <c r="D63" i="5"/>
  <c r="B63" i="12" s="1"/>
  <c r="A63" i="12"/>
  <c r="K63" i="5"/>
  <c r="F63" i="5"/>
  <c r="N63" i="5"/>
  <c r="D63" i="6" s="1"/>
  <c r="H63" i="6" s="1"/>
  <c r="T63" i="5" s="1"/>
  <c r="C64" i="5"/>
  <c r="AE63" i="5"/>
  <c r="G63" i="5"/>
  <c r="J63" i="5"/>
  <c r="AD63" i="5"/>
  <c r="K61" i="12"/>
  <c r="N59" i="12"/>
  <c r="G62" i="12"/>
  <c r="X62" i="5"/>
  <c r="AA60" i="5"/>
  <c r="AB60" i="5"/>
  <c r="C60" i="12"/>
  <c r="AO60" i="12"/>
  <c r="M60" i="12"/>
  <c r="O60" i="12"/>
  <c r="Y59" i="12"/>
  <c r="D59" i="12"/>
  <c r="E59" i="6"/>
  <c r="X58" i="12"/>
  <c r="W58" i="12"/>
  <c r="I61" i="12"/>
  <c r="AM61" i="5"/>
  <c r="L61" i="5"/>
  <c r="Z61" i="5"/>
  <c r="C60" i="6"/>
  <c r="O60" i="5"/>
  <c r="N20" i="6" l="1"/>
  <c r="M20" i="6"/>
  <c r="A21" i="6"/>
  <c r="A22" i="6" s="1"/>
  <c r="AD19" i="6"/>
  <c r="AY19" i="6"/>
  <c r="AM19" i="6"/>
  <c r="AC19" i="6"/>
  <c r="AS19" i="6"/>
  <c r="BB19" i="6"/>
  <c r="AR19" i="6"/>
  <c r="AP19" i="6"/>
  <c r="BE19" i="6"/>
  <c r="BC19" i="6"/>
  <c r="AU19" i="6"/>
  <c r="BA19" i="6"/>
  <c r="AX19" i="6"/>
  <c r="AT19" i="6"/>
  <c r="AV19" i="6"/>
  <c r="AF19" i="6"/>
  <c r="AO19" i="6"/>
  <c r="AZ19" i="6"/>
  <c r="BD19" i="6"/>
  <c r="AN19" i="6"/>
  <c r="AE19" i="6"/>
  <c r="AB19" i="6"/>
  <c r="AI19" i="6"/>
  <c r="AG19" i="6"/>
  <c r="AQ19" i="6"/>
  <c r="AH19" i="6"/>
  <c r="AJ19" i="6"/>
  <c r="BF19" i="6"/>
  <c r="AK19" i="6"/>
  <c r="BG19" i="6"/>
  <c r="K62" i="12"/>
  <c r="A63" i="6"/>
  <c r="W64" i="5"/>
  <c r="H64" i="12" s="1"/>
  <c r="B64" i="5"/>
  <c r="B64" i="6"/>
  <c r="A64" i="12"/>
  <c r="N64" i="5"/>
  <c r="D64" i="6" s="1"/>
  <c r="H64" i="6" s="1"/>
  <c r="T64" i="5" s="1"/>
  <c r="F64" i="5"/>
  <c r="H64" i="5"/>
  <c r="AE64" i="5"/>
  <c r="C65" i="5"/>
  <c r="AD64" i="5"/>
  <c r="D64" i="5"/>
  <c r="B64" i="12" s="1"/>
  <c r="J64" i="5"/>
  <c r="E64" i="5"/>
  <c r="G64" i="5"/>
  <c r="K64" i="5"/>
  <c r="J63" i="12"/>
  <c r="L63" i="12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D60" i="12"/>
  <c r="E60" i="6"/>
  <c r="C61" i="6"/>
  <c r="O61" i="5"/>
  <c r="C61" i="12"/>
  <c r="O61" i="12"/>
  <c r="AO61" i="12"/>
  <c r="M61" i="12"/>
  <c r="N60" i="12"/>
  <c r="Y60" i="12"/>
  <c r="M22" i="6" l="1"/>
  <c r="A23" i="6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N22" i="6"/>
  <c r="AO20" i="6"/>
  <c r="AH20" i="6"/>
  <c r="AV20" i="6"/>
  <c r="AS20" i="6"/>
  <c r="BE20" i="6"/>
  <c r="BD20" i="6"/>
  <c r="BB20" i="6"/>
  <c r="AC20" i="6"/>
  <c r="AF20" i="6"/>
  <c r="AT20" i="6"/>
  <c r="AG20" i="6"/>
  <c r="AK20" i="6"/>
  <c r="AQ20" i="6"/>
  <c r="AN20" i="6"/>
  <c r="AE20" i="6"/>
  <c r="AI20" i="6"/>
  <c r="AZ20" i="6"/>
  <c r="AP20" i="6"/>
  <c r="AY20" i="6"/>
  <c r="AM20" i="6"/>
  <c r="AX20" i="6"/>
  <c r="AB20" i="6"/>
  <c r="BC20" i="6"/>
  <c r="BA20" i="6"/>
  <c r="AR20" i="6"/>
  <c r="AD20" i="6"/>
  <c r="AU20" i="6"/>
  <c r="BF20" i="6"/>
  <c r="AJ20" i="6"/>
  <c r="BG20" i="6"/>
  <c r="N21" i="6"/>
  <c r="M21" i="6"/>
  <c r="A64" i="6"/>
  <c r="K63" i="12"/>
  <c r="L64" i="12"/>
  <c r="J64" i="12"/>
  <c r="F65" i="5"/>
  <c r="G65" i="5"/>
  <c r="K65" i="5"/>
  <c r="H65" i="5"/>
  <c r="D65" i="5"/>
  <c r="B65" i="12" s="1"/>
  <c r="AE65" i="5"/>
  <c r="C66" i="5"/>
  <c r="AD65" i="5"/>
  <c r="B65" i="5"/>
  <c r="W65" i="5"/>
  <c r="H65" i="12" s="1"/>
  <c r="E65" i="5"/>
  <c r="J65" i="5"/>
  <c r="N65" i="5"/>
  <c r="D65" i="6" s="1"/>
  <c r="H65" i="6" s="1"/>
  <c r="T65" i="5" s="1"/>
  <c r="B65" i="6"/>
  <c r="A65" i="12"/>
  <c r="G64" i="12"/>
  <c r="X64" i="5"/>
  <c r="W60" i="12"/>
  <c r="X60" i="12"/>
  <c r="N61" i="12"/>
  <c r="E61" i="6"/>
  <c r="D61" i="12"/>
  <c r="AB62" i="5"/>
  <c r="AA62" i="5"/>
  <c r="C62" i="6"/>
  <c r="O62" i="5"/>
  <c r="V59" i="12"/>
  <c r="T59" i="12"/>
  <c r="U59" i="12"/>
  <c r="Y61" i="12"/>
  <c r="C62" i="12"/>
  <c r="O62" i="12"/>
  <c r="AO62" i="12"/>
  <c r="M62" i="12"/>
  <c r="AM63" i="5"/>
  <c r="I63" i="12"/>
  <c r="L63" i="5"/>
  <c r="Z63" i="5"/>
  <c r="AP22" i="6" l="1"/>
  <c r="AN22" i="6"/>
  <c r="AX22" i="6"/>
  <c r="BB22" i="6"/>
  <c r="BG22" i="6"/>
  <c r="AE22" i="6"/>
  <c r="BD22" i="6"/>
  <c r="BA22" i="6"/>
  <c r="AQ22" i="6"/>
  <c r="AR22" i="6"/>
  <c r="AK22" i="6"/>
  <c r="AO22" i="6"/>
  <c r="AY22" i="6"/>
  <c r="BE22" i="6"/>
  <c r="BF22" i="6"/>
  <c r="AT22" i="6"/>
  <c r="AJ22" i="6"/>
  <c r="AG22" i="6"/>
  <c r="AU22" i="6"/>
  <c r="AS22" i="6"/>
  <c r="AI22" i="6"/>
  <c r="AH22" i="6"/>
  <c r="AZ22" i="6"/>
  <c r="AM22" i="6"/>
  <c r="BC22" i="6"/>
  <c r="AV22" i="6"/>
  <c r="AF22" i="6"/>
  <c r="AV21" i="6"/>
  <c r="AC21" i="6"/>
  <c r="AT21" i="6"/>
  <c r="AJ21" i="6"/>
  <c r="AE21" i="6"/>
  <c r="AI21" i="6"/>
  <c r="AP21" i="6"/>
  <c r="AO21" i="6"/>
  <c r="AF21" i="6"/>
  <c r="BA21" i="6"/>
  <c r="AU21" i="6"/>
  <c r="BB21" i="6"/>
  <c r="AK21" i="6"/>
  <c r="AN21" i="6"/>
  <c r="AR21" i="6"/>
  <c r="BD21" i="6"/>
  <c r="BG21" i="6"/>
  <c r="AX21" i="6"/>
  <c r="AY21" i="6"/>
  <c r="BC21" i="6"/>
  <c r="AB21" i="6"/>
  <c r="BF21" i="6"/>
  <c r="AG21" i="6"/>
  <c r="AQ21" i="6"/>
  <c r="AZ21" i="6"/>
  <c r="AS21" i="6"/>
  <c r="BE21" i="6"/>
  <c r="AM21" i="6"/>
  <c r="AH21" i="6"/>
  <c r="AD21" i="6"/>
  <c r="M23" i="6"/>
  <c r="K64" i="12"/>
  <c r="A65" i="6"/>
  <c r="L65" i="12"/>
  <c r="J65" i="12"/>
  <c r="AE66" i="5"/>
  <c r="A66" i="12"/>
  <c r="C67" i="5"/>
  <c r="AD66" i="5"/>
  <c r="E66" i="5"/>
  <c r="W66" i="5"/>
  <c r="H66" i="12" s="1"/>
  <c r="F66" i="5"/>
  <c r="B66" i="6"/>
  <c r="H66" i="5"/>
  <c r="B66" i="5"/>
  <c r="N66" i="5"/>
  <c r="D66" i="6" s="1"/>
  <c r="G66" i="5"/>
  <c r="Y62" i="12"/>
  <c r="W62" i="12" s="1"/>
  <c r="C63" i="6"/>
  <c r="O63" i="5"/>
  <c r="D62" i="12"/>
  <c r="E62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I64" i="12"/>
  <c r="AM64" i="5"/>
  <c r="L64" i="5"/>
  <c r="Z64" i="5"/>
  <c r="AV23" i="6" l="1"/>
  <c r="AM23" i="6"/>
  <c r="AS23" i="6"/>
  <c r="AJ23" i="6"/>
  <c r="BE23" i="6"/>
  <c r="AN23" i="6"/>
  <c r="AP23" i="6"/>
  <c r="AG23" i="6"/>
  <c r="AQ23" i="6"/>
  <c r="AH23" i="6"/>
  <c r="AE23" i="6"/>
  <c r="AO23" i="6"/>
  <c r="BG23" i="6"/>
  <c r="AI23" i="6"/>
  <c r="AU23" i="6"/>
  <c r="AY23" i="6"/>
  <c r="AF23" i="6"/>
  <c r="BC23" i="6"/>
  <c r="BB23" i="6"/>
  <c r="AX23" i="6"/>
  <c r="BA23" i="6"/>
  <c r="AT23" i="6"/>
  <c r="BF23" i="6"/>
  <c r="BD23" i="6"/>
  <c r="AK23" i="6"/>
  <c r="AZ23" i="6"/>
  <c r="AR23" i="6"/>
  <c r="M24" i="6"/>
  <c r="M27" i="6" s="1"/>
  <c r="A66" i="6"/>
  <c r="K65" i="12"/>
  <c r="H66" i="6"/>
  <c r="T66" i="5" s="1"/>
  <c r="G66" i="12" s="1"/>
  <c r="D67" i="5"/>
  <c r="B67" i="12" s="1"/>
  <c r="N67" i="5"/>
  <c r="D67" i="6" s="1"/>
  <c r="H67" i="6" s="1"/>
  <c r="T67" i="5" s="1"/>
  <c r="AE67" i="5"/>
  <c r="B67" i="6"/>
  <c r="G67" i="5"/>
  <c r="B67" i="5"/>
  <c r="A67" i="12"/>
  <c r="J67" i="5"/>
  <c r="H67" i="5"/>
  <c r="AD67" i="5"/>
  <c r="K67" i="5"/>
  <c r="W67" i="5"/>
  <c r="H67" i="12" s="1"/>
  <c r="E67" i="5"/>
  <c r="C68" i="5"/>
  <c r="F67" i="5"/>
  <c r="X62" i="12"/>
  <c r="Y63" i="12"/>
  <c r="W63" i="12" s="1"/>
  <c r="N63" i="12"/>
  <c r="V61" i="12"/>
  <c r="U61" i="12"/>
  <c r="T61" i="12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M26" i="6" l="1"/>
  <c r="AF26" i="6" s="1"/>
  <c r="M25" i="6"/>
  <c r="AP25" i="6" s="1"/>
  <c r="AK27" i="6"/>
  <c r="AN27" i="6"/>
  <c r="AU27" i="6"/>
  <c r="AR27" i="6"/>
  <c r="BD27" i="6"/>
  <c r="AV27" i="6"/>
  <c r="AB27" i="6"/>
  <c r="AQ27" i="6"/>
  <c r="AM27" i="6"/>
  <c r="AP27" i="6"/>
  <c r="AZ27" i="6"/>
  <c r="AD27" i="6"/>
  <c r="AX27" i="6"/>
  <c r="AH27" i="6"/>
  <c r="AC27" i="6"/>
  <c r="BC27" i="6"/>
  <c r="AO27" i="6"/>
  <c r="BF27" i="6"/>
  <c r="AT27" i="6"/>
  <c r="AY27" i="6"/>
  <c r="AG27" i="6"/>
  <c r="AJ27" i="6"/>
  <c r="BG27" i="6"/>
  <c r="AS27" i="6"/>
  <c r="BE27" i="6"/>
  <c r="BB27" i="6"/>
  <c r="BA27" i="6"/>
  <c r="AE27" i="6"/>
  <c r="AF27" i="6"/>
  <c r="AI27" i="6"/>
  <c r="AI24" i="6"/>
  <c r="AM24" i="6"/>
  <c r="BA24" i="6"/>
  <c r="AP24" i="6"/>
  <c r="AG24" i="6"/>
  <c r="AK24" i="6"/>
  <c r="AD24" i="6"/>
  <c r="AJ24" i="6"/>
  <c r="BC24" i="6"/>
  <c r="AY24" i="6"/>
  <c r="AS24" i="6"/>
  <c r="AV24" i="6"/>
  <c r="AQ24" i="6"/>
  <c r="AH24" i="6"/>
  <c r="AE24" i="6"/>
  <c r="AR24" i="6"/>
  <c r="BG24" i="6"/>
  <c r="AO24" i="6"/>
  <c r="AN24" i="6"/>
  <c r="AF24" i="6"/>
  <c r="AB24" i="6"/>
  <c r="AC24" i="6"/>
  <c r="BB24" i="6"/>
  <c r="AU24" i="6"/>
  <c r="AX24" i="6"/>
  <c r="BE24" i="6"/>
  <c r="AT24" i="6"/>
  <c r="BF24" i="6"/>
  <c r="AZ24" i="6"/>
  <c r="BD24" i="6"/>
  <c r="A67" i="6"/>
  <c r="L67" i="12"/>
  <c r="J67" i="12"/>
  <c r="E68" i="5"/>
  <c r="J68" i="5"/>
  <c r="H68" i="5"/>
  <c r="B68" i="6"/>
  <c r="N68" i="5"/>
  <c r="D68" i="6" s="1"/>
  <c r="H68" i="6" s="1"/>
  <c r="T68" i="5" s="1"/>
  <c r="A68" i="12"/>
  <c r="C69" i="5"/>
  <c r="F68" i="5"/>
  <c r="W68" i="5"/>
  <c r="H68" i="12" s="1"/>
  <c r="AE68" i="5"/>
  <c r="B68" i="5"/>
  <c r="K68" i="5"/>
  <c r="G68" i="5"/>
  <c r="AD68" i="5"/>
  <c r="D68" i="5"/>
  <c r="B68" i="12" s="1"/>
  <c r="X63" i="12"/>
  <c r="N64" i="12"/>
  <c r="AA65" i="5"/>
  <c r="AB65" i="5"/>
  <c r="C65" i="6"/>
  <c r="O65" i="5"/>
  <c r="G67" i="12"/>
  <c r="X67" i="5"/>
  <c r="U63" i="12"/>
  <c r="T63" i="12"/>
  <c r="V63" i="12"/>
  <c r="C65" i="12"/>
  <c r="M65" i="12"/>
  <c r="AO65" i="12"/>
  <c r="O65" i="12"/>
  <c r="Y64" i="12"/>
  <c r="D64" i="12"/>
  <c r="E64" i="6"/>
  <c r="AI25" i="6" l="1"/>
  <c r="AK26" i="6"/>
  <c r="AO26" i="6"/>
  <c r="AX26" i="6"/>
  <c r="BA26" i="6"/>
  <c r="AE26" i="6"/>
  <c r="BC26" i="6"/>
  <c r="AS26" i="6"/>
  <c r="BD26" i="6"/>
  <c r="AZ26" i="6"/>
  <c r="AT26" i="6"/>
  <c r="AN26" i="6"/>
  <c r="AV26" i="6"/>
  <c r="BB26" i="6"/>
  <c r="M28" i="6"/>
  <c r="AZ28" i="6" s="1"/>
  <c r="AI26" i="6"/>
  <c r="AK25" i="6"/>
  <c r="AM25" i="6"/>
  <c r="BE25" i="6"/>
  <c r="AD25" i="6"/>
  <c r="BG25" i="6"/>
  <c r="BD25" i="6"/>
  <c r="AU26" i="6"/>
  <c r="AD26" i="6"/>
  <c r="AY26" i="6"/>
  <c r="AH26" i="6"/>
  <c r="BE26" i="6"/>
  <c r="AJ26" i="6"/>
  <c r="AR26" i="6"/>
  <c r="AB26" i="6"/>
  <c r="BF26" i="6"/>
  <c r="AP26" i="6"/>
  <c r="BG26" i="6"/>
  <c r="AM26" i="6"/>
  <c r="AC26" i="6"/>
  <c r="AQ26" i="6"/>
  <c r="AG26" i="6"/>
  <c r="AV25" i="6"/>
  <c r="AN25" i="6"/>
  <c r="AQ25" i="6"/>
  <c r="AH25" i="6"/>
  <c r="BA25" i="6"/>
  <c r="AO25" i="6"/>
  <c r="BC25" i="6"/>
  <c r="AG25" i="6"/>
  <c r="BB25" i="6"/>
  <c r="AY25" i="6"/>
  <c r="AF25" i="6"/>
  <c r="AU25" i="6"/>
  <c r="AR25" i="6"/>
  <c r="AT25" i="6"/>
  <c r="AE25" i="6"/>
  <c r="AB25" i="6"/>
  <c r="AZ25" i="6"/>
  <c r="AJ25" i="6"/>
  <c r="AC25" i="6"/>
  <c r="AS25" i="6"/>
  <c r="AX25" i="6"/>
  <c r="BF25" i="6"/>
  <c r="K67" i="12"/>
  <c r="A68" i="6"/>
  <c r="B69" i="5"/>
  <c r="AD69" i="5"/>
  <c r="W69" i="5"/>
  <c r="H69" i="12" s="1"/>
  <c r="E69" i="5"/>
  <c r="H69" i="5"/>
  <c r="B69" i="6"/>
  <c r="G69" i="5"/>
  <c r="J69" i="5"/>
  <c r="A69" i="12"/>
  <c r="C70" i="5"/>
  <c r="D69" i="5"/>
  <c r="B69" i="12" s="1"/>
  <c r="F69" i="5"/>
  <c r="N69" i="5"/>
  <c r="D69" i="6" s="1"/>
  <c r="H69" i="6" s="1"/>
  <c r="T69" i="5" s="1"/>
  <c r="AE69" i="5"/>
  <c r="K69" i="5"/>
  <c r="J68" i="12"/>
  <c r="L68" i="12"/>
  <c r="N65" i="12"/>
  <c r="G68" i="12"/>
  <c r="X68" i="5"/>
  <c r="W64" i="12"/>
  <c r="X64" i="12"/>
  <c r="Y65" i="12"/>
  <c r="L67" i="5"/>
  <c r="AM67" i="5"/>
  <c r="I67" i="12"/>
  <c r="Z67" i="5"/>
  <c r="D65" i="12"/>
  <c r="E65" i="6"/>
  <c r="AU28" i="6" l="1"/>
  <c r="AG28" i="6"/>
  <c r="M33" i="6"/>
  <c r="AZ33" i="6" s="1"/>
  <c r="M29" i="6"/>
  <c r="AQ29" i="6" s="1"/>
  <c r="AV28" i="6"/>
  <c r="AJ28" i="6"/>
  <c r="AQ28" i="6"/>
  <c r="BG28" i="6"/>
  <c r="AI28" i="6"/>
  <c r="AH28" i="6"/>
  <c r="AR28" i="6"/>
  <c r="AN28" i="6"/>
  <c r="AK28" i="6"/>
  <c r="AY28" i="6"/>
  <c r="BC28" i="6"/>
  <c r="AO28" i="6"/>
  <c r="AE28" i="6"/>
  <c r="BF28" i="6"/>
  <c r="BA28" i="6"/>
  <c r="AM28" i="6"/>
  <c r="AP28" i="6"/>
  <c r="BD28" i="6"/>
  <c r="BE28" i="6"/>
  <c r="AX28" i="6"/>
  <c r="AT28" i="6"/>
  <c r="AF28" i="6"/>
  <c r="AS28" i="6"/>
  <c r="BB28" i="6"/>
  <c r="M31" i="6"/>
  <c r="M30" i="6"/>
  <c r="M32" i="6"/>
  <c r="AK32" i="6" s="1"/>
  <c r="A69" i="6"/>
  <c r="K68" i="12"/>
  <c r="E70" i="5"/>
  <c r="B70" i="6"/>
  <c r="W70" i="5"/>
  <c r="H70" i="12" s="1"/>
  <c r="B70" i="5"/>
  <c r="AD70" i="5"/>
  <c r="F70" i="5"/>
  <c r="D70" i="5"/>
  <c r="B70" i="12" s="1"/>
  <c r="H70" i="5"/>
  <c r="C71" i="5"/>
  <c r="AE70" i="5"/>
  <c r="K70" i="5"/>
  <c r="G70" i="5"/>
  <c r="A70" i="12"/>
  <c r="J70" i="5"/>
  <c r="N70" i="5"/>
  <c r="D70" i="6" s="1"/>
  <c r="J69" i="12"/>
  <c r="L69" i="12"/>
  <c r="G69" i="12"/>
  <c r="X69" i="5"/>
  <c r="AA67" i="5"/>
  <c r="AB67" i="5"/>
  <c r="L68" i="5"/>
  <c r="I68" i="12"/>
  <c r="AM68" i="5"/>
  <c r="Z68" i="5"/>
  <c r="C67" i="12"/>
  <c r="O67" i="12"/>
  <c r="M67" i="12"/>
  <c r="AO67" i="12"/>
  <c r="C67" i="6"/>
  <c r="O67" i="5"/>
  <c r="W65" i="12"/>
  <c r="X65" i="12"/>
  <c r="V64" i="12"/>
  <c r="T64" i="12"/>
  <c r="U64" i="12"/>
  <c r="AS29" i="6" l="1"/>
  <c r="AD29" i="6"/>
  <c r="AT29" i="6"/>
  <c r="AE29" i="6"/>
  <c r="AI29" i="6"/>
  <c r="AN29" i="6"/>
  <c r="AF29" i="6"/>
  <c r="BB29" i="6"/>
  <c r="AP29" i="6"/>
  <c r="AU29" i="6"/>
  <c r="AM29" i="6"/>
  <c r="AU33" i="6"/>
  <c r="AY29" i="6"/>
  <c r="AG29" i="6"/>
  <c r="AC29" i="6"/>
  <c r="BC29" i="6"/>
  <c r="BA29" i="6"/>
  <c r="BD29" i="6"/>
  <c r="AB29" i="6"/>
  <c r="AK29" i="6"/>
  <c r="BE29" i="6"/>
  <c r="AO29" i="6"/>
  <c r="BF29" i="6"/>
  <c r="AR29" i="6"/>
  <c r="AZ29" i="6"/>
  <c r="AJ29" i="6"/>
  <c r="AH29" i="6"/>
  <c r="AV29" i="6"/>
  <c r="AX29" i="6"/>
  <c r="BG29" i="6"/>
  <c r="AE33" i="6"/>
  <c r="AI33" i="6"/>
  <c r="BG33" i="6"/>
  <c r="BF33" i="6"/>
  <c r="AT33" i="6"/>
  <c r="AG33" i="6"/>
  <c r="AO33" i="6"/>
  <c r="BB33" i="6"/>
  <c r="AC33" i="6"/>
  <c r="BD33" i="6"/>
  <c r="AN33" i="6"/>
  <c r="AS33" i="6"/>
  <c r="AR33" i="6"/>
  <c r="BA33" i="6"/>
  <c r="BC33" i="6"/>
  <c r="BE33" i="6"/>
  <c r="AK33" i="6"/>
  <c r="AF33" i="6"/>
  <c r="AX33" i="6"/>
  <c r="AQ33" i="6"/>
  <c r="AJ33" i="6"/>
  <c r="AP33" i="6"/>
  <c r="AD33" i="6"/>
  <c r="AV33" i="6"/>
  <c r="AH33" i="6"/>
  <c r="AB33" i="6"/>
  <c r="AM33" i="6"/>
  <c r="AY33" i="6"/>
  <c r="AK31" i="6"/>
  <c r="AY31" i="6"/>
  <c r="AJ31" i="6"/>
  <c r="AN31" i="6"/>
  <c r="BF31" i="6"/>
  <c r="AD31" i="6"/>
  <c r="AQ31" i="6"/>
  <c r="AI31" i="6"/>
  <c r="AU31" i="6"/>
  <c r="BG31" i="6"/>
  <c r="BC31" i="6"/>
  <c r="AV31" i="6"/>
  <c r="AM31" i="6"/>
  <c r="AX31" i="6"/>
  <c r="BE31" i="6"/>
  <c r="AO31" i="6"/>
  <c r="AH31" i="6"/>
  <c r="AZ31" i="6"/>
  <c r="AR31" i="6"/>
  <c r="AE31" i="6"/>
  <c r="AB31" i="6"/>
  <c r="AT31" i="6"/>
  <c r="AG31" i="6"/>
  <c r="BD31" i="6"/>
  <c r="BA31" i="6"/>
  <c r="AC31" i="6"/>
  <c r="AP31" i="6"/>
  <c r="BB31" i="6"/>
  <c r="AS31" i="6"/>
  <c r="AF31" i="6"/>
  <c r="AU30" i="6"/>
  <c r="AK30" i="6"/>
  <c r="AH30" i="6"/>
  <c r="BA30" i="6"/>
  <c r="AG30" i="6"/>
  <c r="BC30" i="6"/>
  <c r="AS30" i="6"/>
  <c r="AB30" i="6"/>
  <c r="AP30" i="6"/>
  <c r="AE30" i="6"/>
  <c r="AQ30" i="6"/>
  <c r="AZ30" i="6"/>
  <c r="BE30" i="6"/>
  <c r="AD30" i="6"/>
  <c r="BG30" i="6"/>
  <c r="AI30" i="6"/>
  <c r="BB30" i="6"/>
  <c r="AO30" i="6"/>
  <c r="AR30" i="6"/>
  <c r="BF30" i="6"/>
  <c r="AN30" i="6"/>
  <c r="AF30" i="6"/>
  <c r="AT30" i="6"/>
  <c r="AC30" i="6"/>
  <c r="AJ30" i="6"/>
  <c r="AM30" i="6"/>
  <c r="BD30" i="6"/>
  <c r="AX30" i="6"/>
  <c r="AV30" i="6"/>
  <c r="AY30" i="6"/>
  <c r="M35" i="6"/>
  <c r="BF32" i="6"/>
  <c r="AD32" i="6"/>
  <c r="AT32" i="6"/>
  <c r="BA32" i="6"/>
  <c r="AP32" i="6"/>
  <c r="AE32" i="6"/>
  <c r="AQ32" i="6"/>
  <c r="AG32" i="6"/>
  <c r="AM32" i="6"/>
  <c r="AN32" i="6"/>
  <c r="BC32" i="6"/>
  <c r="AB32" i="6"/>
  <c r="BB32" i="6"/>
  <c r="BG32" i="6"/>
  <c r="AI32" i="6"/>
  <c r="AZ32" i="6"/>
  <c r="AF32" i="6"/>
  <c r="AJ32" i="6"/>
  <c r="BD32" i="6"/>
  <c r="BE32" i="6"/>
  <c r="AY32" i="6"/>
  <c r="AR32" i="6"/>
  <c r="AX32" i="6"/>
  <c r="AC32" i="6"/>
  <c r="AS32" i="6"/>
  <c r="AV32" i="6"/>
  <c r="AO32" i="6"/>
  <c r="AU32" i="6"/>
  <c r="AH32" i="6"/>
  <c r="A70" i="6"/>
  <c r="H70" i="6"/>
  <c r="T70" i="5" s="1"/>
  <c r="G70" i="12" s="1"/>
  <c r="K69" i="12"/>
  <c r="L70" i="12"/>
  <c r="J70" i="12"/>
  <c r="F71" i="5"/>
  <c r="AD71" i="5"/>
  <c r="AE71" i="5"/>
  <c r="K71" i="5"/>
  <c r="H71" i="5"/>
  <c r="B71" i="6"/>
  <c r="B71" i="5"/>
  <c r="E71" i="5"/>
  <c r="W71" i="5"/>
  <c r="H71" i="12" s="1"/>
  <c r="G71" i="5"/>
  <c r="D71" i="5"/>
  <c r="B71" i="12" s="1"/>
  <c r="A71" i="12"/>
  <c r="J71" i="5"/>
  <c r="C72" i="5"/>
  <c r="N71" i="5"/>
  <c r="D71" i="6" s="1"/>
  <c r="Y67" i="12"/>
  <c r="X67" i="12" s="1"/>
  <c r="N67" i="12"/>
  <c r="E67" i="6"/>
  <c r="D67" i="12"/>
  <c r="AB68" i="5"/>
  <c r="AA68" i="5"/>
  <c r="C68" i="6"/>
  <c r="O68" i="5"/>
  <c r="AM69" i="5"/>
  <c r="I69" i="12"/>
  <c r="L69" i="5"/>
  <c r="Z69" i="5"/>
  <c r="U65" i="12"/>
  <c r="T65" i="12"/>
  <c r="V65" i="12"/>
  <c r="C68" i="12"/>
  <c r="M68" i="12"/>
  <c r="O68" i="12"/>
  <c r="AO68" i="12"/>
  <c r="AJ35" i="6" l="1"/>
  <c r="AG35" i="6"/>
  <c r="AE35" i="6"/>
  <c r="BG35" i="6"/>
  <c r="BD35" i="6"/>
  <c r="BB35" i="6"/>
  <c r="M36" i="6"/>
  <c r="M41" i="6"/>
  <c r="M38" i="6"/>
  <c r="BA35" i="6"/>
  <c r="AV35" i="6"/>
  <c r="M40" i="6"/>
  <c r="AF35" i="6"/>
  <c r="AP35" i="6"/>
  <c r="AO35" i="6"/>
  <c r="AY35" i="6"/>
  <c r="M39" i="6"/>
  <c r="AS35" i="6"/>
  <c r="AM35" i="6"/>
  <c r="BC35" i="6"/>
  <c r="BF35" i="6"/>
  <c r="AQ35" i="6"/>
  <c r="AX35" i="6"/>
  <c r="AK35" i="6"/>
  <c r="BE35" i="6"/>
  <c r="AZ35" i="6"/>
  <c r="AU35" i="6"/>
  <c r="AH35" i="6"/>
  <c r="AR35" i="6"/>
  <c r="AI35" i="6"/>
  <c r="AT35" i="6"/>
  <c r="AN35" i="6"/>
  <c r="X70" i="5"/>
  <c r="Z70" i="5" s="1"/>
  <c r="A71" i="6"/>
  <c r="K70" i="12"/>
  <c r="H71" i="6"/>
  <c r="T71" i="5" s="1"/>
  <c r="X71" i="5" s="1"/>
  <c r="N72" i="5"/>
  <c r="D72" i="6" s="1"/>
  <c r="H72" i="6" s="1"/>
  <c r="T72" i="5" s="1"/>
  <c r="AE72" i="5"/>
  <c r="D72" i="5"/>
  <c r="B72" i="12" s="1"/>
  <c r="F72" i="5"/>
  <c r="J72" i="5"/>
  <c r="A72" i="12"/>
  <c r="C73" i="5"/>
  <c r="G72" i="5"/>
  <c r="B72" i="5"/>
  <c r="K72" i="5"/>
  <c r="W72" i="5"/>
  <c r="H72" i="12" s="1"/>
  <c r="H72" i="5"/>
  <c r="B72" i="6"/>
  <c r="AD72" i="5"/>
  <c r="E72" i="5"/>
  <c r="J71" i="12"/>
  <c r="L71" i="12"/>
  <c r="W67" i="12"/>
  <c r="V67" i="12" s="1"/>
  <c r="Y68" i="12"/>
  <c r="X68" i="12" s="1"/>
  <c r="C69" i="6"/>
  <c r="O69" i="5"/>
  <c r="E68" i="6"/>
  <c r="D68" i="12"/>
  <c r="N68" i="12"/>
  <c r="AB69" i="5"/>
  <c r="AA69" i="5"/>
  <c r="C69" i="12"/>
  <c r="M69" i="12"/>
  <c r="AO69" i="12"/>
  <c r="O69" i="12"/>
  <c r="BC40" i="6" l="1"/>
  <c r="AH40" i="6"/>
  <c r="AG40" i="6"/>
  <c r="AU40" i="6"/>
  <c r="AP40" i="6"/>
  <c r="AV40" i="6"/>
  <c r="AT40" i="6"/>
  <c r="AX40" i="6"/>
  <c r="AK40" i="6"/>
  <c r="AS40" i="6"/>
  <c r="AO40" i="6"/>
  <c r="AF40" i="6"/>
  <c r="AJ40" i="6"/>
  <c r="AE40" i="6"/>
  <c r="BG40" i="6"/>
  <c r="AR40" i="6"/>
  <c r="AQ40" i="6"/>
  <c r="AZ40" i="6"/>
  <c r="BE40" i="6"/>
  <c r="BB40" i="6"/>
  <c r="AY40" i="6"/>
  <c r="BA40" i="6"/>
  <c r="BF40" i="6"/>
  <c r="AM40" i="6"/>
  <c r="BD40" i="6"/>
  <c r="AN40" i="6"/>
  <c r="AI40" i="6"/>
  <c r="AV38" i="6"/>
  <c r="BF38" i="6"/>
  <c r="BG38" i="6"/>
  <c r="AY38" i="6"/>
  <c r="AF38" i="6"/>
  <c r="AN38" i="6"/>
  <c r="AP38" i="6"/>
  <c r="AC38" i="6"/>
  <c r="AU38" i="6"/>
  <c r="AJ38" i="6"/>
  <c r="AD38" i="6"/>
  <c r="BA38" i="6"/>
  <c r="AX38" i="6"/>
  <c r="AB38" i="6"/>
  <c r="AO38" i="6"/>
  <c r="BE38" i="6"/>
  <c r="BD38" i="6"/>
  <c r="AG38" i="6"/>
  <c r="BB38" i="6"/>
  <c r="AQ38" i="6"/>
  <c r="AE38" i="6"/>
  <c r="AI38" i="6"/>
  <c r="AM38" i="6"/>
  <c r="AK38" i="6"/>
  <c r="AH38" i="6"/>
  <c r="AZ38" i="6"/>
  <c r="AS38" i="6"/>
  <c r="AT38" i="6"/>
  <c r="BC38" i="6"/>
  <c r="AR38" i="6"/>
  <c r="AI41" i="6"/>
  <c r="AP41" i="6"/>
  <c r="AR41" i="6"/>
  <c r="AM41" i="6"/>
  <c r="BG41" i="6"/>
  <c r="AO41" i="6"/>
  <c r="AQ41" i="6"/>
  <c r="AN41" i="6"/>
  <c r="AZ41" i="6"/>
  <c r="AV41" i="6"/>
  <c r="AK41" i="6"/>
  <c r="BE41" i="6"/>
  <c r="AJ41" i="6"/>
  <c r="AH41" i="6"/>
  <c r="BD41" i="6"/>
  <c r="AT41" i="6"/>
  <c r="BF41" i="6"/>
  <c r="AS41" i="6"/>
  <c r="AB41" i="6"/>
  <c r="AE41" i="6"/>
  <c r="AD41" i="6"/>
  <c r="AX41" i="6"/>
  <c r="AG41" i="6"/>
  <c r="BA41" i="6"/>
  <c r="AY41" i="6"/>
  <c r="AF41" i="6"/>
  <c r="BB41" i="6"/>
  <c r="AU41" i="6"/>
  <c r="AC41" i="6"/>
  <c r="BC41" i="6"/>
  <c r="M37" i="6"/>
  <c r="M43" i="6" s="1"/>
  <c r="M51" i="6" s="1"/>
  <c r="AI36" i="6"/>
  <c r="AG36" i="6"/>
  <c r="BB36" i="6"/>
  <c r="AP36" i="6"/>
  <c r="AU36" i="6"/>
  <c r="AS36" i="6"/>
  <c r="BE36" i="6"/>
  <c r="AJ36" i="6"/>
  <c r="AV36" i="6"/>
  <c r="BF36" i="6"/>
  <c r="AD36" i="6"/>
  <c r="AC36" i="6"/>
  <c r="AY36" i="6"/>
  <c r="AK36" i="6"/>
  <c r="AH36" i="6"/>
  <c r="BG36" i="6"/>
  <c r="BD36" i="6"/>
  <c r="AQ36" i="6"/>
  <c r="BA36" i="6"/>
  <c r="AB36" i="6"/>
  <c r="AO36" i="6"/>
  <c r="AN36" i="6"/>
  <c r="AF36" i="6"/>
  <c r="AT36" i="6"/>
  <c r="BC36" i="6"/>
  <c r="AM36" i="6"/>
  <c r="AX36" i="6"/>
  <c r="AR36" i="6"/>
  <c r="AZ36" i="6"/>
  <c r="AE36" i="6"/>
  <c r="BB39" i="6"/>
  <c r="AV39" i="6"/>
  <c r="AS39" i="6"/>
  <c r="AX39" i="6"/>
  <c r="AF39" i="6"/>
  <c r="AE39" i="6"/>
  <c r="AK39" i="6"/>
  <c r="AM39" i="6"/>
  <c r="AQ39" i="6"/>
  <c r="BC39" i="6"/>
  <c r="BF39" i="6"/>
  <c r="AG39" i="6"/>
  <c r="BG39" i="6"/>
  <c r="AT39" i="6"/>
  <c r="BD39" i="6"/>
  <c r="AY39" i="6"/>
  <c r="AH39" i="6"/>
  <c r="AJ39" i="6"/>
  <c r="AI39" i="6"/>
  <c r="AZ39" i="6"/>
  <c r="BA39" i="6"/>
  <c r="AO39" i="6"/>
  <c r="BE39" i="6"/>
  <c r="AU39" i="6"/>
  <c r="AR39" i="6"/>
  <c r="AP39" i="6"/>
  <c r="AN39" i="6"/>
  <c r="AM70" i="5"/>
  <c r="L70" i="5"/>
  <c r="O70" i="5" s="1"/>
  <c r="I70" i="12"/>
  <c r="O70" i="12" s="1"/>
  <c r="G71" i="12"/>
  <c r="T67" i="12"/>
  <c r="A72" i="6"/>
  <c r="K71" i="12"/>
  <c r="E73" i="5"/>
  <c r="D73" i="5"/>
  <c r="B73" i="12" s="1"/>
  <c r="G73" i="5"/>
  <c r="AD73" i="5"/>
  <c r="B73" i="5"/>
  <c r="C74" i="5" s="1"/>
  <c r="N73" i="5"/>
  <c r="D73" i="6" s="1"/>
  <c r="H73" i="6" s="1"/>
  <c r="T73" i="5" s="1"/>
  <c r="W73" i="5"/>
  <c r="H73" i="12" s="1"/>
  <c r="H73" i="5"/>
  <c r="B73" i="6"/>
  <c r="F73" i="5"/>
  <c r="AE73" i="5"/>
  <c r="A73" i="12"/>
  <c r="J73" i="5"/>
  <c r="K73" i="5"/>
  <c r="L72" i="12"/>
  <c r="J72" i="12"/>
  <c r="U67" i="12"/>
  <c r="N69" i="12"/>
  <c r="W68" i="12"/>
  <c r="U68" i="12" s="1"/>
  <c r="AB70" i="5"/>
  <c r="AA70" i="5"/>
  <c r="D69" i="12"/>
  <c r="E69" i="6"/>
  <c r="I71" i="12"/>
  <c r="AM71" i="5"/>
  <c r="L71" i="5"/>
  <c r="Z71" i="5"/>
  <c r="Y69" i="12"/>
  <c r="G72" i="12"/>
  <c r="X72" i="5"/>
  <c r="AG37" i="6" l="1"/>
  <c r="BB37" i="6"/>
  <c r="AI37" i="6"/>
  <c r="AK37" i="6"/>
  <c r="AU37" i="6"/>
  <c r="AP37" i="6"/>
  <c r="AO37" i="6"/>
  <c r="BC37" i="6"/>
  <c r="AB37" i="6"/>
  <c r="BG37" i="6"/>
  <c r="AY37" i="6"/>
  <c r="AQ37" i="6"/>
  <c r="AD37" i="6"/>
  <c r="AE37" i="6"/>
  <c r="AZ37" i="6"/>
  <c r="AX37" i="6"/>
  <c r="AC37" i="6"/>
  <c r="AT37" i="6"/>
  <c r="BA37" i="6"/>
  <c r="BF37" i="6"/>
  <c r="BE37" i="6"/>
  <c r="AV37" i="6"/>
  <c r="AN37" i="6"/>
  <c r="AF37" i="6"/>
  <c r="AJ37" i="6"/>
  <c r="AH37" i="6"/>
  <c r="BD37" i="6"/>
  <c r="AM37" i="6"/>
  <c r="AS37" i="6"/>
  <c r="AR37" i="6"/>
  <c r="AN43" i="6"/>
  <c r="AR43" i="6"/>
  <c r="AM43" i="6"/>
  <c r="M50" i="6"/>
  <c r="AT43" i="6"/>
  <c r="AP43" i="6"/>
  <c r="M46" i="6"/>
  <c r="AG43" i="6"/>
  <c r="AF43" i="6"/>
  <c r="AQ43" i="6"/>
  <c r="M49" i="6"/>
  <c r="BE43" i="6"/>
  <c r="AO43" i="6"/>
  <c r="BB43" i="6"/>
  <c r="M45" i="6"/>
  <c r="AX43" i="6"/>
  <c r="AU43" i="6"/>
  <c r="M48" i="6"/>
  <c r="AJ43" i="6"/>
  <c r="AZ43" i="6"/>
  <c r="AV43" i="6"/>
  <c r="M47" i="6"/>
  <c r="M44" i="6"/>
  <c r="AY43" i="6"/>
  <c r="AI43" i="6"/>
  <c r="BA43" i="6"/>
  <c r="AE43" i="6"/>
  <c r="BG43" i="6"/>
  <c r="AH43" i="6"/>
  <c r="BF43" i="6"/>
  <c r="AK43" i="6"/>
  <c r="AS43" i="6"/>
  <c r="BD43" i="6"/>
  <c r="BC43" i="6"/>
  <c r="AN51" i="6"/>
  <c r="AU51" i="6"/>
  <c r="AS51" i="6"/>
  <c r="C70" i="6"/>
  <c r="AZ51" i="6"/>
  <c r="M70" i="12"/>
  <c r="N70" i="12" s="1"/>
  <c r="BE51" i="6"/>
  <c r="AE51" i="6"/>
  <c r="AO70" i="12"/>
  <c r="Y70" i="12" s="1"/>
  <c r="C70" i="12"/>
  <c r="AD51" i="6"/>
  <c r="AH51" i="6"/>
  <c r="AI51" i="6"/>
  <c r="AF51" i="6"/>
  <c r="AR51" i="6"/>
  <c r="BF51" i="6"/>
  <c r="BA51" i="6"/>
  <c r="AO51" i="6"/>
  <c r="AG51" i="6"/>
  <c r="AK51" i="6"/>
  <c r="AX51" i="6"/>
  <c r="BC51" i="6"/>
  <c r="AP51" i="6"/>
  <c r="AV51" i="6"/>
  <c r="BD51" i="6"/>
  <c r="AJ51" i="6"/>
  <c r="AY51" i="6"/>
  <c r="AC51" i="6"/>
  <c r="AM51" i="6"/>
  <c r="BB51" i="6"/>
  <c r="AB51" i="6"/>
  <c r="AQ51" i="6"/>
  <c r="M52" i="6"/>
  <c r="BG51" i="6"/>
  <c r="AT51" i="6"/>
  <c r="A73" i="6"/>
  <c r="K72" i="12"/>
  <c r="L73" i="12"/>
  <c r="J73" i="12"/>
  <c r="E74" i="5"/>
  <c r="A74" i="12"/>
  <c r="N74" i="5"/>
  <c r="D74" i="6" s="1"/>
  <c r="H74" i="6" s="1"/>
  <c r="T74" i="5" s="1"/>
  <c r="G74" i="12" s="1"/>
  <c r="G74" i="5"/>
  <c r="H74" i="5"/>
  <c r="B74" i="5"/>
  <c r="C75" i="5"/>
  <c r="AD74" i="5"/>
  <c r="W74" i="5"/>
  <c r="H74" i="12" s="1"/>
  <c r="AE74" i="5"/>
  <c r="F74" i="5"/>
  <c r="K66" i="5" s="1"/>
  <c r="B74" i="6"/>
  <c r="T68" i="12"/>
  <c r="V68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AM72" i="5"/>
  <c r="I72" i="12"/>
  <c r="L72" i="5"/>
  <c r="Z72" i="5"/>
  <c r="AB71" i="5"/>
  <c r="AA71" i="5"/>
  <c r="M53" i="6" l="1"/>
  <c r="M69" i="6" s="1"/>
  <c r="BD48" i="6"/>
  <c r="BF48" i="6"/>
  <c r="AQ48" i="6"/>
  <c r="AU48" i="6"/>
  <c r="AC48" i="6"/>
  <c r="AD48" i="6"/>
  <c r="AH48" i="6"/>
  <c r="AZ48" i="6"/>
  <c r="AM48" i="6"/>
  <c r="AV48" i="6"/>
  <c r="BA48" i="6"/>
  <c r="AJ48" i="6"/>
  <c r="AN48" i="6"/>
  <c r="AR48" i="6"/>
  <c r="AX48" i="6"/>
  <c r="BE48" i="6"/>
  <c r="BB48" i="6"/>
  <c r="AP48" i="6"/>
  <c r="AS48" i="6"/>
  <c r="AY48" i="6"/>
  <c r="AT48" i="6"/>
  <c r="AE48" i="6"/>
  <c r="AO48" i="6"/>
  <c r="AK48" i="6"/>
  <c r="AG48" i="6"/>
  <c r="BC48" i="6"/>
  <c r="AF48" i="6"/>
  <c r="AB48" i="6"/>
  <c r="AI48" i="6"/>
  <c r="BG48" i="6"/>
  <c r="BD50" i="6"/>
  <c r="AY50" i="6"/>
  <c r="AJ50" i="6"/>
  <c r="AF50" i="6"/>
  <c r="AZ50" i="6"/>
  <c r="AU50" i="6"/>
  <c r="AB50" i="6"/>
  <c r="BA50" i="6"/>
  <c r="AG50" i="6"/>
  <c r="BE50" i="6"/>
  <c r="AO50" i="6"/>
  <c r="AM50" i="6"/>
  <c r="AX50" i="6"/>
  <c r="AI50" i="6"/>
  <c r="AN50" i="6"/>
  <c r="BG50" i="6"/>
  <c r="AQ50" i="6"/>
  <c r="BF50" i="6"/>
  <c r="AH50" i="6"/>
  <c r="AK50" i="6"/>
  <c r="AS50" i="6"/>
  <c r="AT50" i="6"/>
  <c r="AC50" i="6"/>
  <c r="AE50" i="6"/>
  <c r="BC50" i="6"/>
  <c r="AD50" i="6"/>
  <c r="AV50" i="6"/>
  <c r="AP50" i="6"/>
  <c r="BB50" i="6"/>
  <c r="AR50" i="6"/>
  <c r="AJ45" i="6"/>
  <c r="AI45" i="6"/>
  <c r="AT45" i="6"/>
  <c r="AX45" i="6"/>
  <c r="AZ45" i="6"/>
  <c r="AF45" i="6"/>
  <c r="AK45" i="6"/>
  <c r="AO45" i="6"/>
  <c r="AH45" i="6"/>
  <c r="AB45" i="6"/>
  <c r="AE45" i="6"/>
  <c r="BC45" i="6"/>
  <c r="AS45" i="6"/>
  <c r="BE45" i="6"/>
  <c r="AQ45" i="6"/>
  <c r="AD45" i="6"/>
  <c r="AN45" i="6"/>
  <c r="AG45" i="6"/>
  <c r="BB45" i="6"/>
  <c r="BG45" i="6"/>
  <c r="AC45" i="6"/>
  <c r="AV45" i="6"/>
  <c r="AU45" i="6"/>
  <c r="AY45" i="6"/>
  <c r="BA45" i="6"/>
  <c r="AM45" i="6"/>
  <c r="AR45" i="6"/>
  <c r="BF45" i="6"/>
  <c r="BD45" i="6"/>
  <c r="AP45" i="6"/>
  <c r="AF44" i="6"/>
  <c r="AO44" i="6"/>
  <c r="AB44" i="6"/>
  <c r="AM44" i="6"/>
  <c r="BB44" i="6"/>
  <c r="BD44" i="6"/>
  <c r="BG44" i="6"/>
  <c r="AN44" i="6"/>
  <c r="AZ44" i="6"/>
  <c r="BE44" i="6"/>
  <c r="AV44" i="6"/>
  <c r="AQ44" i="6"/>
  <c r="AE44" i="6"/>
  <c r="AH44" i="6"/>
  <c r="AC44" i="6"/>
  <c r="BA44" i="6"/>
  <c r="AY44" i="6"/>
  <c r="AT44" i="6"/>
  <c r="BF44" i="6"/>
  <c r="AR44" i="6"/>
  <c r="AK44" i="6"/>
  <c r="AP44" i="6"/>
  <c r="BC44" i="6"/>
  <c r="AX44" i="6"/>
  <c r="AD44" i="6"/>
  <c r="AS44" i="6"/>
  <c r="AG44" i="6"/>
  <c r="AU44" i="6"/>
  <c r="AJ44" i="6"/>
  <c r="AI44" i="6"/>
  <c r="AF49" i="6"/>
  <c r="BF49" i="6"/>
  <c r="AK49" i="6"/>
  <c r="AI49" i="6"/>
  <c r="AH49" i="6"/>
  <c r="AR49" i="6"/>
  <c r="AN49" i="6"/>
  <c r="AM49" i="6"/>
  <c r="AU49" i="6"/>
  <c r="AB49" i="6"/>
  <c r="AY49" i="6"/>
  <c r="BG49" i="6"/>
  <c r="BC49" i="6"/>
  <c r="AZ49" i="6"/>
  <c r="BE49" i="6"/>
  <c r="AG49" i="6"/>
  <c r="AV49" i="6"/>
  <c r="AC49" i="6"/>
  <c r="BD49" i="6"/>
  <c r="AQ49" i="6"/>
  <c r="AE49" i="6"/>
  <c r="AD49" i="6"/>
  <c r="BA49" i="6"/>
  <c r="AP49" i="6"/>
  <c r="AX49" i="6"/>
  <c r="AS49" i="6"/>
  <c r="AO49" i="6"/>
  <c r="AJ49" i="6"/>
  <c r="BB49" i="6"/>
  <c r="AT49" i="6"/>
  <c r="AT47" i="6"/>
  <c r="AP47" i="6"/>
  <c r="AN47" i="6"/>
  <c r="AJ47" i="6"/>
  <c r="BF47" i="6"/>
  <c r="BE47" i="6"/>
  <c r="BB47" i="6"/>
  <c r="BD47" i="6"/>
  <c r="AD47" i="6"/>
  <c r="BC47" i="6"/>
  <c r="AO47" i="6"/>
  <c r="AE47" i="6"/>
  <c r="AZ47" i="6"/>
  <c r="AK47" i="6"/>
  <c r="AM47" i="6"/>
  <c r="AC47" i="6"/>
  <c r="AV47" i="6"/>
  <c r="AG47" i="6"/>
  <c r="AB47" i="6"/>
  <c r="AF47" i="6"/>
  <c r="BA47" i="6"/>
  <c r="AI47" i="6"/>
  <c r="AH47" i="6"/>
  <c r="AY47" i="6"/>
  <c r="AQ47" i="6"/>
  <c r="AS47" i="6"/>
  <c r="AU47" i="6"/>
  <c r="AX47" i="6"/>
  <c r="AR47" i="6"/>
  <c r="BG47" i="6"/>
  <c r="AU46" i="6"/>
  <c r="AY46" i="6"/>
  <c r="AB46" i="6"/>
  <c r="AO46" i="6"/>
  <c r="BG46" i="6"/>
  <c r="AT46" i="6"/>
  <c r="AD46" i="6"/>
  <c r="AH46" i="6"/>
  <c r="BA46" i="6"/>
  <c r="AQ46" i="6"/>
  <c r="BE46" i="6"/>
  <c r="AI46" i="6"/>
  <c r="AP46" i="6"/>
  <c r="AS46" i="6"/>
  <c r="AV46" i="6"/>
  <c r="BF46" i="6"/>
  <c r="AN46" i="6"/>
  <c r="BC46" i="6"/>
  <c r="AG46" i="6"/>
  <c r="AJ46" i="6"/>
  <c r="AK46" i="6"/>
  <c r="AC46" i="6"/>
  <c r="BB46" i="6"/>
  <c r="AM46" i="6"/>
  <c r="AR46" i="6"/>
  <c r="AE46" i="6"/>
  <c r="AX46" i="6"/>
  <c r="BD46" i="6"/>
  <c r="AZ46" i="6"/>
  <c r="AF46" i="6"/>
  <c r="AO52" i="6"/>
  <c r="BC52" i="6"/>
  <c r="AJ52" i="6"/>
  <c r="AX52" i="6"/>
  <c r="BA52" i="6"/>
  <c r="AV52" i="6"/>
  <c r="AB52" i="6"/>
  <c r="AE52" i="6"/>
  <c r="BD52" i="6"/>
  <c r="BF52" i="6"/>
  <c r="AC52" i="6"/>
  <c r="AP52" i="6"/>
  <c r="AM52" i="6"/>
  <c r="AG52" i="6"/>
  <c r="AT52" i="6"/>
  <c r="AR52" i="6"/>
  <c r="AU52" i="6"/>
  <c r="AZ52" i="6"/>
  <c r="AH52" i="6"/>
  <c r="AD52" i="6"/>
  <c r="BE52" i="6"/>
  <c r="AQ52" i="6"/>
  <c r="BG52" i="6"/>
  <c r="AN52" i="6"/>
  <c r="AF52" i="6"/>
  <c r="AI52" i="6"/>
  <c r="AS52" i="6"/>
  <c r="AK52" i="6"/>
  <c r="AY52" i="6"/>
  <c r="BB52" i="6"/>
  <c r="BF53" i="6"/>
  <c r="AZ53" i="6"/>
  <c r="AJ53" i="6"/>
  <c r="AE53" i="6"/>
  <c r="K73" i="12"/>
  <c r="A74" i="6"/>
  <c r="K75" i="5"/>
  <c r="N75" i="5"/>
  <c r="D75" i="6" s="1"/>
  <c r="H75" i="6" s="1"/>
  <c r="T75" i="5" s="1"/>
  <c r="J75" i="5"/>
  <c r="D75" i="5"/>
  <c r="B75" i="12" s="1"/>
  <c r="AD75" i="5"/>
  <c r="B75" i="5"/>
  <c r="AE75" i="5"/>
  <c r="C76" i="5"/>
  <c r="G75" i="5"/>
  <c r="H75" i="5"/>
  <c r="A75" i="12"/>
  <c r="B75" i="6"/>
  <c r="W75" i="5"/>
  <c r="H75" i="12" s="1"/>
  <c r="E75" i="5"/>
  <c r="F75" i="5"/>
  <c r="N71" i="12"/>
  <c r="AB72" i="5"/>
  <c r="AA72" i="5"/>
  <c r="C72" i="6"/>
  <c r="O72" i="5"/>
  <c r="I73" i="12"/>
  <c r="L73" i="5"/>
  <c r="AM73" i="5"/>
  <c r="Z73" i="5"/>
  <c r="D71" i="12"/>
  <c r="E71" i="6"/>
  <c r="V69" i="12"/>
  <c r="T69" i="12"/>
  <c r="U69" i="12"/>
  <c r="W70" i="12"/>
  <c r="X70" i="12"/>
  <c r="C72" i="12"/>
  <c r="O72" i="12"/>
  <c r="M72" i="12"/>
  <c r="AO72" i="12"/>
  <c r="Y71" i="12"/>
  <c r="AP53" i="6" l="1"/>
  <c r="AO53" i="6"/>
  <c r="AS53" i="6"/>
  <c r="AG53" i="6"/>
  <c r="BA53" i="6"/>
  <c r="AN53" i="6"/>
  <c r="AV53" i="6"/>
  <c r="AR53" i="6"/>
  <c r="AQ53" i="6"/>
  <c r="M74" i="6"/>
  <c r="AS74" i="6" s="1"/>
  <c r="BC53" i="6"/>
  <c r="BD53" i="6"/>
  <c r="AI53" i="6"/>
  <c r="BE53" i="6"/>
  <c r="AH53" i="6"/>
  <c r="AU53" i="6"/>
  <c r="AT53" i="6"/>
  <c r="BB53" i="6"/>
  <c r="BG53" i="6"/>
  <c r="AY53" i="6"/>
  <c r="AF53" i="6"/>
  <c r="AK53" i="6"/>
  <c r="AM53" i="6"/>
  <c r="AX53" i="6"/>
  <c r="M57" i="6"/>
  <c r="AT57" i="6" s="1"/>
  <c r="M67" i="6"/>
  <c r="M55" i="6"/>
  <c r="M72" i="6"/>
  <c r="AM72" i="6" s="1"/>
  <c r="M71" i="6"/>
  <c r="AX71" i="6" s="1"/>
  <c r="M62" i="6"/>
  <c r="AM62" i="6" s="1"/>
  <c r="M61" i="6"/>
  <c r="BG61" i="6" s="1"/>
  <c r="M60" i="6"/>
  <c r="AE60" i="6" s="1"/>
  <c r="M73" i="6"/>
  <c r="M65" i="6"/>
  <c r="M59" i="6"/>
  <c r="M64" i="6"/>
  <c r="M58" i="6"/>
  <c r="BA58" i="6" s="1"/>
  <c r="M70" i="6"/>
  <c r="AI70" i="6" s="1"/>
  <c r="M56" i="6"/>
  <c r="M68" i="6"/>
  <c r="AP55" i="6"/>
  <c r="M66" i="6"/>
  <c r="M63" i="6"/>
  <c r="AH72" i="6"/>
  <c r="M54" i="6"/>
  <c r="BD62" i="6"/>
  <c r="AB62" i="6"/>
  <c r="AF62" i="6"/>
  <c r="AQ62" i="6"/>
  <c r="AE62" i="6"/>
  <c r="AU62" i="6"/>
  <c r="AG62" i="6"/>
  <c r="AY62" i="6"/>
  <c r="AC62" i="6"/>
  <c r="AJ62" i="6"/>
  <c r="AP71" i="6"/>
  <c r="AR62" i="6"/>
  <c r="AZ62" i="6"/>
  <c r="BG62" i="6"/>
  <c r="BE71" i="6"/>
  <c r="AO60" i="6"/>
  <c r="AY60" i="6"/>
  <c r="AK71" i="6"/>
  <c r="BB71" i="6"/>
  <c r="AJ71" i="6"/>
  <c r="AV71" i="6"/>
  <c r="BF71" i="6"/>
  <c r="AI71" i="6"/>
  <c r="AO71" i="6"/>
  <c r="AH71" i="6"/>
  <c r="AN71" i="6"/>
  <c r="AY71" i="6"/>
  <c r="AE71" i="6"/>
  <c r="AZ71" i="6"/>
  <c r="AD71" i="6"/>
  <c r="BD71" i="6"/>
  <c r="AQ71" i="6"/>
  <c r="AM71" i="6"/>
  <c r="BA71" i="6"/>
  <c r="AG71" i="6"/>
  <c r="AT71" i="6"/>
  <c r="BG71" i="6"/>
  <c r="AR71" i="6"/>
  <c r="AU71" i="6"/>
  <c r="AF71" i="6"/>
  <c r="AC71" i="6"/>
  <c r="BC71" i="6"/>
  <c r="AB71" i="6"/>
  <c r="AS71" i="6"/>
  <c r="AY55" i="6"/>
  <c r="AZ55" i="6"/>
  <c r="BF55" i="6"/>
  <c r="AK55" i="6"/>
  <c r="AQ55" i="6"/>
  <c r="AO55" i="6"/>
  <c r="BA55" i="6"/>
  <c r="AG55" i="6"/>
  <c r="AU55" i="6"/>
  <c r="AR55" i="6"/>
  <c r="AX55" i="6"/>
  <c r="BB55" i="6"/>
  <c r="AF55" i="6"/>
  <c r="AN55" i="6"/>
  <c r="AS55" i="6"/>
  <c r="BG55" i="6"/>
  <c r="AT55" i="6"/>
  <c r="AH55" i="6"/>
  <c r="BD55" i="6"/>
  <c r="BC55" i="6"/>
  <c r="AI55" i="6"/>
  <c r="AJ55" i="6"/>
  <c r="AM55" i="6"/>
  <c r="BE55" i="6"/>
  <c r="AQ69" i="6"/>
  <c r="AY69" i="6"/>
  <c r="AJ69" i="6"/>
  <c r="AC69" i="6"/>
  <c r="BB69" i="6"/>
  <c r="AM69" i="6"/>
  <c r="AS69" i="6"/>
  <c r="AG69" i="6"/>
  <c r="BD69" i="6"/>
  <c r="AK69" i="6"/>
  <c r="AF69" i="6"/>
  <c r="BF69" i="6"/>
  <c r="AV69" i="6"/>
  <c r="AI69" i="6"/>
  <c r="BE69" i="6"/>
  <c r="AB69" i="6"/>
  <c r="AZ69" i="6"/>
  <c r="BG69" i="6"/>
  <c r="BA69" i="6"/>
  <c r="AH69" i="6"/>
  <c r="AP69" i="6"/>
  <c r="AU69" i="6"/>
  <c r="AO69" i="6"/>
  <c r="AR69" i="6"/>
  <c r="BC69" i="6"/>
  <c r="AX69" i="6"/>
  <c r="AE69" i="6"/>
  <c r="AD69" i="6"/>
  <c r="AN69" i="6"/>
  <c r="AT69" i="6"/>
  <c r="AQ74" i="6"/>
  <c r="AT74" i="6"/>
  <c r="BG74" i="6"/>
  <c r="AD74" i="6"/>
  <c r="AJ74" i="6"/>
  <c r="AE74" i="6"/>
  <c r="AX74" i="6"/>
  <c r="BE74" i="6"/>
  <c r="AY74" i="6"/>
  <c r="AP74" i="6"/>
  <c r="AO74" i="6"/>
  <c r="AC74" i="6"/>
  <c r="AM74" i="6"/>
  <c r="AI74" i="6"/>
  <c r="AV74" i="6"/>
  <c r="BD74" i="6"/>
  <c r="AB74" i="6"/>
  <c r="AR74" i="6"/>
  <c r="AG74" i="6"/>
  <c r="AK74" i="6"/>
  <c r="BB74" i="6"/>
  <c r="BA74" i="6"/>
  <c r="AN74" i="6"/>
  <c r="AF74" i="6"/>
  <c r="AH74" i="6"/>
  <c r="AZ74" i="6"/>
  <c r="AU74" i="6"/>
  <c r="BF74" i="6"/>
  <c r="BC74" i="6"/>
  <c r="A75" i="6"/>
  <c r="M75" i="6" s="1"/>
  <c r="BC75" i="6" s="1"/>
  <c r="B76" i="6"/>
  <c r="N76" i="5"/>
  <c r="D76" i="6" s="1"/>
  <c r="AE76" i="5"/>
  <c r="W76" i="5"/>
  <c r="H76" i="12" s="1"/>
  <c r="G76" i="5"/>
  <c r="A76" i="12"/>
  <c r="K76" i="5"/>
  <c r="H76" i="5"/>
  <c r="J76" i="5"/>
  <c r="C77" i="5"/>
  <c r="AD76" i="5"/>
  <c r="B76" i="5"/>
  <c r="D76" i="5"/>
  <c r="B76" i="12" s="1"/>
  <c r="E76" i="5"/>
  <c r="F76" i="5"/>
  <c r="L75" i="12"/>
  <c r="J75" i="12"/>
  <c r="Y72" i="12"/>
  <c r="W72" i="12" s="1"/>
  <c r="N72" i="12"/>
  <c r="X71" i="12"/>
  <c r="W71" i="12"/>
  <c r="G75" i="12"/>
  <c r="X75" i="5"/>
  <c r="AA73" i="5"/>
  <c r="AB73" i="5"/>
  <c r="C73" i="12"/>
  <c r="AO73" i="12"/>
  <c r="M73" i="12"/>
  <c r="O73" i="12"/>
  <c r="V70" i="12"/>
  <c r="T70" i="12"/>
  <c r="U70" i="12"/>
  <c r="C73" i="6"/>
  <c r="O73" i="5"/>
  <c r="D72" i="12"/>
  <c r="E72" i="6"/>
  <c r="AO72" i="6" l="1"/>
  <c r="AX62" i="6"/>
  <c r="BD72" i="6"/>
  <c r="AI62" i="6"/>
  <c r="BB57" i="6"/>
  <c r="BA57" i="6"/>
  <c r="BA62" i="6"/>
  <c r="BF62" i="6"/>
  <c r="AD62" i="6"/>
  <c r="BE62" i="6"/>
  <c r="AT62" i="6"/>
  <c r="AV62" i="6"/>
  <c r="BC62" i="6"/>
  <c r="BB62" i="6"/>
  <c r="AS62" i="6"/>
  <c r="AO62" i="6"/>
  <c r="AK62" i="6"/>
  <c r="AH62" i="6"/>
  <c r="AN62" i="6"/>
  <c r="AN72" i="6"/>
  <c r="AN57" i="6"/>
  <c r="BE60" i="6"/>
  <c r="AK60" i="6"/>
  <c r="AU72" i="6"/>
  <c r="AP62" i="6"/>
  <c r="AS72" i="6"/>
  <c r="BG72" i="6"/>
  <c r="AC57" i="6"/>
  <c r="AG57" i="6"/>
  <c r="AD57" i="6"/>
  <c r="AH57" i="6"/>
  <c r="AY57" i="6"/>
  <c r="AZ57" i="6"/>
  <c r="BC57" i="6"/>
  <c r="AS57" i="6"/>
  <c r="AV57" i="6"/>
  <c r="BG57" i="6"/>
  <c r="AI57" i="6"/>
  <c r="BF57" i="6"/>
  <c r="AO57" i="6"/>
  <c r="AQ57" i="6"/>
  <c r="AP61" i="6"/>
  <c r="BG60" i="6"/>
  <c r="AM60" i="6"/>
  <c r="AX60" i="6"/>
  <c r="AU60" i="6"/>
  <c r="AG72" i="6"/>
  <c r="AP60" i="6"/>
  <c r="AI60" i="6"/>
  <c r="BA60" i="6"/>
  <c r="BD60" i="6"/>
  <c r="AD60" i="6"/>
  <c r="AH60" i="6"/>
  <c r="AR60" i="6"/>
  <c r="AJ60" i="6"/>
  <c r="AN60" i="6"/>
  <c r="AX72" i="6"/>
  <c r="AZ72" i="6"/>
  <c r="AE57" i="6"/>
  <c r="AI72" i="6"/>
  <c r="BE72" i="6"/>
  <c r="AE72" i="6"/>
  <c r="AP57" i="6"/>
  <c r="AM61" i="6"/>
  <c r="AR61" i="6"/>
  <c r="AJ72" i="6"/>
  <c r="BA72" i="6"/>
  <c r="AQ72" i="6"/>
  <c r="AT72" i="6"/>
  <c r="BC72" i="6"/>
  <c r="AY72" i="6"/>
  <c r="BF72" i="6"/>
  <c r="AB72" i="6"/>
  <c r="AP72" i="6"/>
  <c r="AK72" i="6"/>
  <c r="AC72" i="6"/>
  <c r="AR72" i="6"/>
  <c r="BB72" i="6"/>
  <c r="AF72" i="6"/>
  <c r="AV72" i="6"/>
  <c r="AD72" i="6"/>
  <c r="AV55" i="6"/>
  <c r="AE55" i="6"/>
  <c r="AC67" i="6"/>
  <c r="AJ67" i="6"/>
  <c r="AE67" i="6"/>
  <c r="AU67" i="6"/>
  <c r="AG67" i="6"/>
  <c r="AS67" i="6"/>
  <c r="AQ67" i="6"/>
  <c r="BF67" i="6"/>
  <c r="AD67" i="6"/>
  <c r="AO67" i="6"/>
  <c r="AK67" i="6"/>
  <c r="AB67" i="6"/>
  <c r="AT67" i="6"/>
  <c r="BE67" i="6"/>
  <c r="AV67" i="6"/>
  <c r="AY67" i="6"/>
  <c r="BA67" i="6"/>
  <c r="AM67" i="6"/>
  <c r="AX67" i="6"/>
  <c r="AI67" i="6"/>
  <c r="BC67" i="6"/>
  <c r="AP67" i="6"/>
  <c r="BD67" i="6"/>
  <c r="AZ67" i="6"/>
  <c r="AF67" i="6"/>
  <c r="BG67" i="6"/>
  <c r="AR67" i="6"/>
  <c r="BB67" i="6"/>
  <c r="AN67" i="6"/>
  <c r="AH67" i="6"/>
  <c r="AK57" i="6"/>
  <c r="BE57" i="6"/>
  <c r="AX57" i="6"/>
  <c r="AR57" i="6"/>
  <c r="AM57" i="6"/>
  <c r="AB57" i="6"/>
  <c r="BD57" i="6"/>
  <c r="AF57" i="6"/>
  <c r="AU57" i="6"/>
  <c r="AJ57" i="6"/>
  <c r="AV61" i="6"/>
  <c r="AK61" i="6"/>
  <c r="AE61" i="6"/>
  <c r="AO61" i="6"/>
  <c r="AX61" i="6"/>
  <c r="AD61" i="6"/>
  <c r="BD61" i="6"/>
  <c r="BE61" i="6"/>
  <c r="AF61" i="6"/>
  <c r="BA61" i="6"/>
  <c r="AN61" i="6"/>
  <c r="BC60" i="6"/>
  <c r="BB60" i="6"/>
  <c r="AV60" i="6"/>
  <c r="BF60" i="6"/>
  <c r="AG60" i="6"/>
  <c r="AF60" i="6"/>
  <c r="AQ60" i="6"/>
  <c r="AZ60" i="6"/>
  <c r="AT60" i="6"/>
  <c r="AB61" i="6"/>
  <c r="AS60" i="6"/>
  <c r="AB60" i="6"/>
  <c r="AG61" i="6"/>
  <c r="AQ61" i="6"/>
  <c r="AS61" i="6"/>
  <c r="AZ61" i="6"/>
  <c r="AC61" i="6"/>
  <c r="AY61" i="6"/>
  <c r="BC61" i="6"/>
  <c r="AJ61" i="6"/>
  <c r="AU61" i="6"/>
  <c r="AH61" i="6"/>
  <c r="AT61" i="6"/>
  <c r="BF61" i="6"/>
  <c r="BB61" i="6"/>
  <c r="AI61" i="6"/>
  <c r="AC60" i="6"/>
  <c r="AN58" i="6"/>
  <c r="AZ58" i="6"/>
  <c r="AI58" i="6"/>
  <c r="AE58" i="6"/>
  <c r="AQ58" i="6"/>
  <c r="AV58" i="6"/>
  <c r="AT58" i="6"/>
  <c r="BF58" i="6"/>
  <c r="AS58" i="6"/>
  <c r="AU58" i="6"/>
  <c r="BG58" i="6"/>
  <c r="BC58" i="6"/>
  <c r="AN70" i="6"/>
  <c r="AC58" i="6"/>
  <c r="BB58" i="6"/>
  <c r="AG58" i="6"/>
  <c r="AN59" i="6"/>
  <c r="AG59" i="6"/>
  <c r="AF59" i="6"/>
  <c r="AS59" i="6"/>
  <c r="AO59" i="6"/>
  <c r="AY59" i="6"/>
  <c r="AU59" i="6"/>
  <c r="BA59" i="6"/>
  <c r="AV59" i="6"/>
  <c r="AR59" i="6"/>
  <c r="AZ59" i="6"/>
  <c r="AX59" i="6"/>
  <c r="BB59" i="6"/>
  <c r="AC59" i="6"/>
  <c r="AD59" i="6"/>
  <c r="AQ59" i="6"/>
  <c r="BC59" i="6"/>
  <c r="AJ59" i="6"/>
  <c r="BF59" i="6"/>
  <c r="AH59" i="6"/>
  <c r="BE59" i="6"/>
  <c r="AI59" i="6"/>
  <c r="AK59" i="6"/>
  <c r="BD59" i="6"/>
  <c r="AP59" i="6"/>
  <c r="BG59" i="6"/>
  <c r="AM59" i="6"/>
  <c r="AB59" i="6"/>
  <c r="AE59" i="6"/>
  <c r="AT59" i="6"/>
  <c r="AX63" i="6"/>
  <c r="AP63" i="6"/>
  <c r="AC63" i="6"/>
  <c r="AR63" i="6"/>
  <c r="AI63" i="6"/>
  <c r="AM63" i="6"/>
  <c r="BF63" i="6"/>
  <c r="AY63" i="6"/>
  <c r="BE63" i="6"/>
  <c r="AS63" i="6"/>
  <c r="AN63" i="6"/>
  <c r="BG63" i="6"/>
  <c r="AE63" i="6"/>
  <c r="AD63" i="6"/>
  <c r="AO63" i="6"/>
  <c r="AT63" i="6"/>
  <c r="BA63" i="6"/>
  <c r="BB63" i="6"/>
  <c r="AV63" i="6"/>
  <c r="AJ63" i="6"/>
  <c r="AU63" i="6"/>
  <c r="AQ63" i="6"/>
  <c r="AK63" i="6"/>
  <c r="AB63" i="6"/>
  <c r="AH63" i="6"/>
  <c r="AZ63" i="6"/>
  <c r="AG63" i="6"/>
  <c r="BC63" i="6"/>
  <c r="AF63" i="6"/>
  <c r="BD63" i="6"/>
  <c r="AQ70" i="6"/>
  <c r="AG70" i="6"/>
  <c r="AH70" i="6"/>
  <c r="AY70" i="6"/>
  <c r="AU70" i="6"/>
  <c r="AC70" i="6"/>
  <c r="BA70" i="6"/>
  <c r="AT70" i="6"/>
  <c r="AJ70" i="6"/>
  <c r="AZ70" i="6"/>
  <c r="BC70" i="6"/>
  <c r="BD70" i="6"/>
  <c r="AO68" i="6"/>
  <c r="AJ68" i="6"/>
  <c r="AI68" i="6"/>
  <c r="AV68" i="6"/>
  <c r="AQ68" i="6"/>
  <c r="AR68" i="6"/>
  <c r="AN68" i="6"/>
  <c r="AG68" i="6"/>
  <c r="BB68" i="6"/>
  <c r="AU68" i="6"/>
  <c r="BC68" i="6"/>
  <c r="AM68" i="6"/>
  <c r="BD68" i="6"/>
  <c r="AZ68" i="6"/>
  <c r="AF68" i="6"/>
  <c r="AY68" i="6"/>
  <c r="AX68" i="6"/>
  <c r="BA68" i="6"/>
  <c r="AT68" i="6"/>
  <c r="BF68" i="6"/>
  <c r="BE68" i="6"/>
  <c r="AC68" i="6"/>
  <c r="AB68" i="6"/>
  <c r="AH68" i="6"/>
  <c r="AS68" i="6"/>
  <c r="AD68" i="6"/>
  <c r="AP68" i="6"/>
  <c r="AE68" i="6"/>
  <c r="BG68" i="6"/>
  <c r="AK68" i="6"/>
  <c r="AP58" i="6"/>
  <c r="AF58" i="6"/>
  <c r="AK58" i="6"/>
  <c r="BE58" i="6"/>
  <c r="AX58" i="6"/>
  <c r="AR58" i="6"/>
  <c r="AO58" i="6"/>
  <c r="AH58" i="6"/>
  <c r="AD58" i="6"/>
  <c r="BD58" i="6"/>
  <c r="AY58" i="6"/>
  <c r="AE70" i="6"/>
  <c r="BG70" i="6"/>
  <c r="AM70" i="6"/>
  <c r="AV70" i="6"/>
  <c r="BB70" i="6"/>
  <c r="AM58" i="6"/>
  <c r="AB70" i="6"/>
  <c r="AR70" i="6"/>
  <c r="AB58" i="6"/>
  <c r="AJ58" i="6"/>
  <c r="AD70" i="6"/>
  <c r="AT54" i="6"/>
  <c r="AN54" i="6"/>
  <c r="AJ54" i="6"/>
  <c r="AF54" i="6"/>
  <c r="AK54" i="6"/>
  <c r="AZ54" i="6"/>
  <c r="AP54" i="6"/>
  <c r="AQ54" i="6"/>
  <c r="BF54" i="6"/>
  <c r="AE54" i="6"/>
  <c r="AY54" i="6"/>
  <c r="BB54" i="6"/>
  <c r="AI54" i="6"/>
  <c r="AV54" i="6"/>
  <c r="AX54" i="6"/>
  <c r="BG54" i="6"/>
  <c r="BA54" i="6"/>
  <c r="BC54" i="6"/>
  <c r="BD54" i="6"/>
  <c r="AO54" i="6"/>
  <c r="AR54" i="6"/>
  <c r="AM54" i="6"/>
  <c r="BE54" i="6"/>
  <c r="AH54" i="6"/>
  <c r="AU54" i="6"/>
  <c r="AS54" i="6"/>
  <c r="AG54" i="6"/>
  <c r="AN56" i="6"/>
  <c r="AG56" i="6"/>
  <c r="AZ56" i="6"/>
  <c r="AT56" i="6"/>
  <c r="AX56" i="6"/>
  <c r="AP56" i="6"/>
  <c r="BG56" i="6"/>
  <c r="AO56" i="6"/>
  <c r="AC56" i="6"/>
  <c r="BC56" i="6"/>
  <c r="AJ56" i="6"/>
  <c r="AY56" i="6"/>
  <c r="AE56" i="6"/>
  <c r="AD56" i="6"/>
  <c r="BA56" i="6"/>
  <c r="AU56" i="6"/>
  <c r="AB56" i="6"/>
  <c r="AV56" i="6"/>
  <c r="BD56" i="6"/>
  <c r="BF56" i="6"/>
  <c r="BE56" i="6"/>
  <c r="AS56" i="6"/>
  <c r="AM56" i="6"/>
  <c r="AH56" i="6"/>
  <c r="AQ56" i="6"/>
  <c r="AI56" i="6"/>
  <c r="AF56" i="6"/>
  <c r="AK56" i="6"/>
  <c r="AR56" i="6"/>
  <c r="BB56" i="6"/>
  <c r="BF70" i="6"/>
  <c r="AP70" i="6"/>
  <c r="AI65" i="6"/>
  <c r="AE65" i="6"/>
  <c r="BE65" i="6"/>
  <c r="AD65" i="6"/>
  <c r="BG65" i="6"/>
  <c r="AV65" i="6"/>
  <c r="AR65" i="6"/>
  <c r="AY65" i="6"/>
  <c r="AJ65" i="6"/>
  <c r="BC65" i="6"/>
  <c r="AK65" i="6"/>
  <c r="BB65" i="6"/>
  <c r="BD65" i="6"/>
  <c r="AC65" i="6"/>
  <c r="AM65" i="6"/>
  <c r="AH65" i="6"/>
  <c r="AZ65" i="6"/>
  <c r="AN65" i="6"/>
  <c r="BF65" i="6"/>
  <c r="AP65" i="6"/>
  <c r="AB65" i="6"/>
  <c r="AU65" i="6"/>
  <c r="AF65" i="6"/>
  <c r="AT65" i="6"/>
  <c r="AO65" i="6"/>
  <c r="BA65" i="6"/>
  <c r="AG65" i="6"/>
  <c r="AS65" i="6"/>
  <c r="AX65" i="6"/>
  <c r="AQ65" i="6"/>
  <c r="AF70" i="6"/>
  <c r="AX70" i="6"/>
  <c r="AS70" i="6"/>
  <c r="BC73" i="6"/>
  <c r="BE73" i="6"/>
  <c r="AN73" i="6"/>
  <c r="AJ73" i="6"/>
  <c r="AK73" i="6"/>
  <c r="AZ73" i="6"/>
  <c r="AI73" i="6"/>
  <c r="AS73" i="6"/>
  <c r="AB73" i="6"/>
  <c r="AG73" i="6"/>
  <c r="AF73" i="6"/>
  <c r="AD73" i="6"/>
  <c r="AX73" i="6"/>
  <c r="AP73" i="6"/>
  <c r="BG73" i="6"/>
  <c r="AM73" i="6"/>
  <c r="AH73" i="6"/>
  <c r="AT73" i="6"/>
  <c r="BD73" i="6"/>
  <c r="AY73" i="6"/>
  <c r="AU73" i="6"/>
  <c r="BA73" i="6"/>
  <c r="AR73" i="6"/>
  <c r="BB73" i="6"/>
  <c r="AQ73" i="6"/>
  <c r="AV73" i="6"/>
  <c r="AO73" i="6"/>
  <c r="AE73" i="6"/>
  <c r="AC73" i="6"/>
  <c r="BF73" i="6"/>
  <c r="BA66" i="6"/>
  <c r="AX66" i="6"/>
  <c r="AJ66" i="6"/>
  <c r="AQ66" i="6"/>
  <c r="AE66" i="6"/>
  <c r="AG66" i="6"/>
  <c r="AY66" i="6"/>
  <c r="AT66" i="6"/>
  <c r="AD66" i="6"/>
  <c r="AU66" i="6"/>
  <c r="AV66" i="6"/>
  <c r="AM66" i="6"/>
  <c r="AI66" i="6"/>
  <c r="AZ66" i="6"/>
  <c r="AO66" i="6"/>
  <c r="AC66" i="6"/>
  <c r="BF66" i="6"/>
  <c r="AS66" i="6"/>
  <c r="BE66" i="6"/>
  <c r="AR66" i="6"/>
  <c r="BC66" i="6"/>
  <c r="AP66" i="6"/>
  <c r="AN66" i="6"/>
  <c r="AB66" i="6"/>
  <c r="BD66" i="6"/>
  <c r="AH66" i="6"/>
  <c r="BB66" i="6"/>
  <c r="AF66" i="6"/>
  <c r="AK66" i="6"/>
  <c r="BG66" i="6"/>
  <c r="BE70" i="6"/>
  <c r="AO70" i="6"/>
  <c r="AK70" i="6"/>
  <c r="AZ64" i="6"/>
  <c r="AM64" i="6"/>
  <c r="AS64" i="6"/>
  <c r="AC64" i="6"/>
  <c r="BD64" i="6"/>
  <c r="AE64" i="6"/>
  <c r="AI64" i="6"/>
  <c r="AQ64" i="6"/>
  <c r="AP64" i="6"/>
  <c r="BE64" i="6"/>
  <c r="AF64" i="6"/>
  <c r="AO64" i="6"/>
  <c r="AR64" i="6"/>
  <c r="BA64" i="6"/>
  <c r="AV64" i="6"/>
  <c r="AJ64" i="6"/>
  <c r="BB64" i="6"/>
  <c r="AU64" i="6"/>
  <c r="AH64" i="6"/>
  <c r="AN64" i="6"/>
  <c r="AX64" i="6"/>
  <c r="AY64" i="6"/>
  <c r="BF64" i="6"/>
  <c r="BG64" i="6"/>
  <c r="AG64" i="6"/>
  <c r="AK64" i="6"/>
  <c r="BC64" i="6"/>
  <c r="AB64" i="6"/>
  <c r="AT64" i="6"/>
  <c r="AD64" i="6"/>
  <c r="BE75" i="6"/>
  <c r="AB75" i="6"/>
  <c r="AJ75" i="6"/>
  <c r="AI75" i="6"/>
  <c r="AU75" i="6"/>
  <c r="A76" i="6"/>
  <c r="M76" i="6" s="1"/>
  <c r="AD75" i="6"/>
  <c r="BF75" i="6"/>
  <c r="AV75" i="6"/>
  <c r="AC75" i="6"/>
  <c r="AO75" i="6"/>
  <c r="H76" i="6"/>
  <c r="T76" i="5" s="1"/>
  <c r="X76" i="5" s="1"/>
  <c r="AF75" i="6"/>
  <c r="AH75" i="6"/>
  <c r="BG75" i="6"/>
  <c r="AR75" i="6"/>
  <c r="AG75" i="6"/>
  <c r="AT75" i="6"/>
  <c r="AK75" i="6"/>
  <c r="AP75" i="6"/>
  <c r="BD75" i="6"/>
  <c r="AY75" i="6"/>
  <c r="AN75" i="6"/>
  <c r="AQ75" i="6"/>
  <c r="AX75" i="6"/>
  <c r="AZ75" i="6"/>
  <c r="AM75" i="6"/>
  <c r="AE75" i="6"/>
  <c r="BB75" i="6"/>
  <c r="BA75" i="6"/>
  <c r="AS75" i="6"/>
  <c r="K75" i="12"/>
  <c r="C78" i="5"/>
  <c r="G77" i="5"/>
  <c r="AE77" i="5"/>
  <c r="A77" i="12"/>
  <c r="K77" i="5"/>
  <c r="D77" i="5"/>
  <c r="B77" i="12" s="1"/>
  <c r="F77" i="5"/>
  <c r="H77" i="5"/>
  <c r="B77" i="5"/>
  <c r="AD77" i="5"/>
  <c r="E77" i="5"/>
  <c r="W77" i="5"/>
  <c r="H77" i="12" s="1"/>
  <c r="J77" i="5"/>
  <c r="N77" i="5"/>
  <c r="D77" i="6" s="1"/>
  <c r="H77" i="6" s="1"/>
  <c r="T77" i="5" s="1"/>
  <c r="B77" i="6"/>
  <c r="J76" i="12"/>
  <c r="L76" i="12"/>
  <c r="X72" i="12"/>
  <c r="N73" i="12"/>
  <c r="D73" i="12"/>
  <c r="E73" i="6"/>
  <c r="Y73" i="12"/>
  <c r="V72" i="12"/>
  <c r="U72" i="12"/>
  <c r="T72" i="12"/>
  <c r="L75" i="5"/>
  <c r="I75" i="12"/>
  <c r="AM75" i="5"/>
  <c r="Z75" i="5"/>
  <c r="U71" i="12"/>
  <c r="T71" i="12"/>
  <c r="V71" i="12"/>
  <c r="AJ76" i="6" l="1"/>
  <c r="G76" i="12"/>
  <c r="A77" i="6"/>
  <c r="M77" i="6" s="1"/>
  <c r="AN77" i="6" s="1"/>
  <c r="L77" i="12"/>
  <c r="J77" i="12"/>
  <c r="K76" i="12"/>
  <c r="B78" i="6"/>
  <c r="AD78" i="5"/>
  <c r="B78" i="5"/>
  <c r="A78" i="12"/>
  <c r="J78" i="5"/>
  <c r="D78" i="5"/>
  <c r="B78" i="12" s="1"/>
  <c r="W78" i="5"/>
  <c r="H78" i="12" s="1"/>
  <c r="C79" i="5"/>
  <c r="N78" i="5"/>
  <c r="D78" i="6" s="1"/>
  <c r="H78" i="6" s="1"/>
  <c r="T78" i="5" s="1"/>
  <c r="G78" i="5"/>
  <c r="AE78" i="5"/>
  <c r="E78" i="5"/>
  <c r="F78" i="5"/>
  <c r="K78" i="5"/>
  <c r="H78" i="5"/>
  <c r="AB76" i="6"/>
  <c r="AC76" i="6"/>
  <c r="AD76" i="6"/>
  <c r="C75" i="12"/>
  <c r="O75" i="12"/>
  <c r="AO75" i="12"/>
  <c r="M75" i="12"/>
  <c r="I76" i="12"/>
  <c r="L76" i="5"/>
  <c r="AM76" i="5"/>
  <c r="Z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W73" i="12"/>
  <c r="X73" i="12"/>
  <c r="G77" i="12"/>
  <c r="X77" i="5"/>
  <c r="AD77" i="6" l="1"/>
  <c r="AV77" i="6"/>
  <c r="BD77" i="6"/>
  <c r="BE77" i="6"/>
  <c r="AY77" i="6"/>
  <c r="AE77" i="6"/>
  <c r="BF77" i="6"/>
  <c r="BC77" i="6"/>
  <c r="AU77" i="6"/>
  <c r="AH77" i="6"/>
  <c r="AQ77" i="6"/>
  <c r="AJ77" i="6"/>
  <c r="AM77" i="6"/>
  <c r="BB77" i="6"/>
  <c r="AC77" i="6"/>
  <c r="AK77" i="6"/>
  <c r="AO77" i="6"/>
  <c r="AG77" i="6"/>
  <c r="AX77" i="6"/>
  <c r="AS77" i="6"/>
  <c r="AT77" i="6"/>
  <c r="AI77" i="6"/>
  <c r="AP77" i="6"/>
  <c r="BG77" i="6"/>
  <c r="AZ77" i="6"/>
  <c r="K77" i="12"/>
  <c r="AB77" i="6"/>
  <c r="AR77" i="6"/>
  <c r="AF77" i="6"/>
  <c r="BA77" i="6"/>
  <c r="A78" i="6"/>
  <c r="M78" i="6" s="1"/>
  <c r="BB78" i="6" s="1"/>
  <c r="B79" i="6"/>
  <c r="J79" i="5"/>
  <c r="AE79" i="5"/>
  <c r="B79" i="5"/>
  <c r="H79" i="5"/>
  <c r="G79" i="5"/>
  <c r="W79" i="5"/>
  <c r="H79" i="12" s="1"/>
  <c r="D79" i="5"/>
  <c r="B79" i="12" s="1"/>
  <c r="A79" i="12"/>
  <c r="C80" i="5"/>
  <c r="E79" i="5"/>
  <c r="F79" i="5"/>
  <c r="N79" i="5"/>
  <c r="D79" i="6" s="1"/>
  <c r="H79" i="6" s="1"/>
  <c r="T79" i="5" s="1"/>
  <c r="K79" i="5"/>
  <c r="AD79" i="5"/>
  <c r="L78" i="12"/>
  <c r="J78" i="12"/>
  <c r="V73" i="12"/>
  <c r="T73" i="12"/>
  <c r="U73" i="12"/>
  <c r="C76" i="12"/>
  <c r="M76" i="12"/>
  <c r="AO76" i="12"/>
  <c r="O76" i="12"/>
  <c r="N75" i="12"/>
  <c r="AM77" i="5"/>
  <c r="I77" i="12"/>
  <c r="L77" i="5"/>
  <c r="Z77" i="5"/>
  <c r="G78" i="12"/>
  <c r="X78" i="5"/>
  <c r="E75" i="6"/>
  <c r="D75" i="12"/>
  <c r="AA76" i="5"/>
  <c r="AB76" i="5"/>
  <c r="C76" i="6"/>
  <c r="O76" i="5"/>
  <c r="Y75" i="12"/>
  <c r="AC78" i="6" l="1"/>
  <c r="AJ78" i="6"/>
  <c r="AI78" i="6"/>
  <c r="A79" i="6"/>
  <c r="M79" i="6" s="1"/>
  <c r="AR79" i="6" s="1"/>
  <c r="K78" i="12"/>
  <c r="AH78" i="6"/>
  <c r="AK78" i="6"/>
  <c r="BA78" i="6"/>
  <c r="AD78" i="6"/>
  <c r="AF78" i="6"/>
  <c r="AG78" i="6"/>
  <c r="AO78" i="6"/>
  <c r="BG78" i="6"/>
  <c r="AE78" i="6"/>
  <c r="BE78" i="6"/>
  <c r="AB78" i="6"/>
  <c r="AR78" i="6"/>
  <c r="AQ78" i="6"/>
  <c r="AT78" i="6"/>
  <c r="AZ78" i="6"/>
  <c r="AP78" i="6"/>
  <c r="BF78" i="6"/>
  <c r="AS78" i="6"/>
  <c r="BC78" i="6"/>
  <c r="BD78" i="6"/>
  <c r="AX78" i="6"/>
  <c r="AN78" i="6"/>
  <c r="AV78" i="6"/>
  <c r="AM78" i="6"/>
  <c r="AY78" i="6"/>
  <c r="AU78" i="6"/>
  <c r="H80" i="5"/>
  <c r="A80" i="12"/>
  <c r="G80" i="5"/>
  <c r="J80" i="5"/>
  <c r="AE80" i="5"/>
  <c r="W80" i="5"/>
  <c r="H80" i="12" s="1"/>
  <c r="F80" i="5"/>
  <c r="B80" i="5"/>
  <c r="E80" i="5"/>
  <c r="B80" i="6"/>
  <c r="N80" i="5"/>
  <c r="D80" i="6" s="1"/>
  <c r="AD80" i="5"/>
  <c r="D80" i="5"/>
  <c r="B80" i="12" s="1"/>
  <c r="K80" i="5"/>
  <c r="C81" i="5"/>
  <c r="L79" i="12"/>
  <c r="J79" i="12"/>
  <c r="N76" i="12"/>
  <c r="X75" i="12"/>
  <c r="W75" i="12"/>
  <c r="D76" i="12"/>
  <c r="E76" i="6"/>
  <c r="C77" i="12"/>
  <c r="O77" i="12"/>
  <c r="AO77" i="12"/>
  <c r="M77" i="12"/>
  <c r="G79" i="12"/>
  <c r="X79" i="5"/>
  <c r="L78" i="5"/>
  <c r="AM78" i="5"/>
  <c r="I78" i="12"/>
  <c r="Z78" i="5"/>
  <c r="AA77" i="5"/>
  <c r="AB77" i="5"/>
  <c r="C77" i="6"/>
  <c r="O77" i="5"/>
  <c r="Y76" i="12"/>
  <c r="AV79" i="6" l="1"/>
  <c r="AP79" i="6"/>
  <c r="BC79" i="6"/>
  <c r="AZ79" i="6"/>
  <c r="AC79" i="6"/>
  <c r="AY79" i="6"/>
  <c r="AF79" i="6"/>
  <c r="AD79" i="6"/>
  <c r="BA79" i="6"/>
  <c r="BG79" i="6"/>
  <c r="BD79" i="6"/>
  <c r="BB79" i="6"/>
  <c r="AT79" i="6"/>
  <c r="AK79" i="6"/>
  <c r="AS79" i="6"/>
  <c r="AX79" i="6"/>
  <c r="AI79" i="6"/>
  <c r="AH79" i="6"/>
  <c r="AJ79" i="6"/>
  <c r="AQ79" i="6"/>
  <c r="AM79" i="6"/>
  <c r="AU79" i="6"/>
  <c r="AB79" i="6"/>
  <c r="AG79" i="6"/>
  <c r="AE79" i="6"/>
  <c r="BE79" i="6"/>
  <c r="AO79" i="6"/>
  <c r="AN79" i="6"/>
  <c r="BF79" i="6"/>
  <c r="A80" i="6"/>
  <c r="M80" i="6" s="1"/>
  <c r="AX80" i="6" s="1"/>
  <c r="H80" i="6"/>
  <c r="T80" i="5" s="1"/>
  <c r="G80" i="12" s="1"/>
  <c r="K79" i="12"/>
  <c r="B81" i="6"/>
  <c r="H81" i="5"/>
  <c r="C82" i="5"/>
  <c r="J81" i="5"/>
  <c r="A81" i="12"/>
  <c r="W81" i="5"/>
  <c r="H81" i="12" s="1"/>
  <c r="B81" i="5"/>
  <c r="E81" i="5"/>
  <c r="D81" i="5"/>
  <c r="B81" i="12" s="1"/>
  <c r="F81" i="5"/>
  <c r="K81" i="5"/>
  <c r="AD81" i="5"/>
  <c r="G81" i="5"/>
  <c r="AE81" i="5"/>
  <c r="N81" i="5"/>
  <c r="D81" i="6" s="1"/>
  <c r="H81" i="6" s="1"/>
  <c r="T81" i="5" s="1"/>
  <c r="J80" i="12"/>
  <c r="L80" i="12"/>
  <c r="AB78" i="5"/>
  <c r="AA78" i="5"/>
  <c r="C78" i="12"/>
  <c r="AO78" i="12"/>
  <c r="M78" i="12"/>
  <c r="O78" i="12"/>
  <c r="C78" i="6"/>
  <c r="O78" i="5"/>
  <c r="AM79" i="5"/>
  <c r="I79" i="12"/>
  <c r="L79" i="5"/>
  <c r="Z79" i="5"/>
  <c r="N77" i="12"/>
  <c r="W76" i="12"/>
  <c r="X76" i="12"/>
  <c r="E77" i="6"/>
  <c r="D77" i="12"/>
  <c r="Y77" i="12"/>
  <c r="T75" i="12"/>
  <c r="V75" i="12"/>
  <c r="U75" i="12"/>
  <c r="X80" i="5" l="1"/>
  <c r="L80" i="5" s="1"/>
  <c r="BC80" i="6"/>
  <c r="BG80" i="6"/>
  <c r="BA80" i="6"/>
  <c r="AU80" i="6"/>
  <c r="AO80" i="6"/>
  <c r="AE80" i="6"/>
  <c r="AC80" i="6"/>
  <c r="BF80" i="6"/>
  <c r="AM80" i="6"/>
  <c r="AG80" i="6"/>
  <c r="AQ80" i="6"/>
  <c r="AK80" i="6"/>
  <c r="AV80" i="6"/>
  <c r="AB80" i="6"/>
  <c r="AI80" i="6"/>
  <c r="AT80" i="6"/>
  <c r="AP80" i="6"/>
  <c r="AY80" i="6"/>
  <c r="AD80" i="6"/>
  <c r="AR80" i="6"/>
  <c r="BD80" i="6"/>
  <c r="AN80" i="6"/>
  <c r="AS80" i="6"/>
  <c r="A81" i="6"/>
  <c r="M81" i="6" s="1"/>
  <c r="AF81" i="6" s="1"/>
  <c r="AJ80" i="6"/>
  <c r="AF80" i="6"/>
  <c r="BB80" i="6"/>
  <c r="AZ80" i="6"/>
  <c r="BE80" i="6"/>
  <c r="AH80" i="6"/>
  <c r="K80" i="12"/>
  <c r="E82" i="5"/>
  <c r="N82" i="5"/>
  <c r="D82" i="6" s="1"/>
  <c r="H82" i="6" s="1"/>
  <c r="T82" i="5" s="1"/>
  <c r="J82" i="5"/>
  <c r="AE82" i="5"/>
  <c r="W82" i="5"/>
  <c r="H82" i="12" s="1"/>
  <c r="D82" i="5"/>
  <c r="B82" i="12" s="1"/>
  <c r="K82" i="5"/>
  <c r="A82" i="12"/>
  <c r="F82" i="5"/>
  <c r="B82" i="6"/>
  <c r="AD82" i="5"/>
  <c r="H82" i="5"/>
  <c r="C83" i="5"/>
  <c r="B82" i="5"/>
  <c r="G82" i="5"/>
  <c r="J81" i="12"/>
  <c r="L81" i="12"/>
  <c r="N78" i="12"/>
  <c r="U76" i="12"/>
  <c r="V76" i="12"/>
  <c r="T76" i="12"/>
  <c r="C79" i="12"/>
  <c r="M79" i="12"/>
  <c r="O79" i="12"/>
  <c r="AO79" i="12"/>
  <c r="D78" i="12"/>
  <c r="E78" i="6"/>
  <c r="Y78" i="12"/>
  <c r="X77" i="12"/>
  <c r="W77" i="12"/>
  <c r="G81" i="12"/>
  <c r="X81" i="5"/>
  <c r="AA79" i="5"/>
  <c r="AB79" i="5"/>
  <c r="C79" i="6"/>
  <c r="O79" i="5"/>
  <c r="AM80" i="5" l="1"/>
  <c r="Z80" i="5"/>
  <c r="AB80" i="5" s="1"/>
  <c r="I80" i="12"/>
  <c r="AO80" i="12" s="1"/>
  <c r="A82" i="6"/>
  <c r="M82" i="6" s="1"/>
  <c r="AC82" i="6" s="1"/>
  <c r="K81" i="12"/>
  <c r="L82" i="12"/>
  <c r="J82" i="12"/>
  <c r="D83" i="5"/>
  <c r="B83" i="12" s="1"/>
  <c r="H83" i="5"/>
  <c r="W83" i="5"/>
  <c r="H83" i="12" s="1"/>
  <c r="AD83" i="5"/>
  <c r="E83" i="5"/>
  <c r="F83" i="5"/>
  <c r="A83" i="12"/>
  <c r="AE83" i="5"/>
  <c r="B83" i="6"/>
  <c r="B83" i="5"/>
  <c r="G83" i="5"/>
  <c r="N83" i="5"/>
  <c r="D83" i="6" s="1"/>
  <c r="H83" i="6" s="1"/>
  <c r="T83" i="5" s="1"/>
  <c r="J83" i="5"/>
  <c r="K83" i="5"/>
  <c r="C84" i="5"/>
  <c r="BE81" i="6"/>
  <c r="AS81" i="6"/>
  <c r="AC81" i="6"/>
  <c r="AT81" i="6"/>
  <c r="AB81" i="6"/>
  <c r="BC81" i="6"/>
  <c r="AX81" i="6"/>
  <c r="AO81" i="6"/>
  <c r="AD81" i="6"/>
  <c r="N79" i="12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D79" i="12"/>
  <c r="E79" i="6"/>
  <c r="C80" i="6"/>
  <c r="O80" i="5"/>
  <c r="W78" i="12"/>
  <c r="X78" i="12"/>
  <c r="AM81" i="5"/>
  <c r="I81" i="12"/>
  <c r="L81" i="5"/>
  <c r="Z81" i="5"/>
  <c r="V77" i="12"/>
  <c r="T77" i="12"/>
  <c r="U77" i="12"/>
  <c r="Y79" i="12"/>
  <c r="G82" i="12"/>
  <c r="X82" i="5"/>
  <c r="C80" i="12" l="1"/>
  <c r="AA80" i="5"/>
  <c r="M80" i="12"/>
  <c r="O80" i="12"/>
  <c r="Y80" i="12" s="1"/>
  <c r="K82" i="12"/>
  <c r="A83" i="6"/>
  <c r="M83" i="6" s="1"/>
  <c r="W84" i="5"/>
  <c r="H84" i="12" s="1"/>
  <c r="K84" i="5"/>
  <c r="E84" i="5"/>
  <c r="C85" i="5"/>
  <c r="G84" i="5"/>
  <c r="H84" i="5"/>
  <c r="D84" i="5"/>
  <c r="B84" i="12" s="1"/>
  <c r="N84" i="5"/>
  <c r="D84" i="6" s="1"/>
  <c r="F84" i="5"/>
  <c r="B84" i="6"/>
  <c r="AE84" i="5"/>
  <c r="J84" i="5"/>
  <c r="A84" i="12"/>
  <c r="B84" i="5"/>
  <c r="AD84" i="5"/>
  <c r="L83" i="12"/>
  <c r="J83" i="12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I82" i="12"/>
  <c r="L82" i="5"/>
  <c r="AM82" i="5"/>
  <c r="Z82" i="5"/>
  <c r="W79" i="12"/>
  <c r="X79" i="12"/>
  <c r="C81" i="12"/>
  <c r="AO81" i="12"/>
  <c r="O81" i="12"/>
  <c r="M81" i="12"/>
  <c r="D80" i="12"/>
  <c r="E80" i="6"/>
  <c r="G83" i="12"/>
  <c r="X83" i="5"/>
  <c r="AA81" i="5"/>
  <c r="AB81" i="5"/>
  <c r="C81" i="6"/>
  <c r="O81" i="5"/>
  <c r="U78" i="12"/>
  <c r="V78" i="12"/>
  <c r="T78" i="12"/>
  <c r="N80" i="12" l="1"/>
  <c r="A84" i="6"/>
  <c r="M84" i="6" s="1"/>
  <c r="BA84" i="6" s="1"/>
  <c r="BC83" i="6"/>
  <c r="AD83" i="6"/>
  <c r="H84" i="6"/>
  <c r="T84" i="5" s="1"/>
  <c r="G84" i="12" s="1"/>
  <c r="K83" i="12"/>
  <c r="G85" i="5"/>
  <c r="C86" i="5"/>
  <c r="N85" i="5"/>
  <c r="D85" i="6" s="1"/>
  <c r="H85" i="6" s="1"/>
  <c r="T85" i="5" s="1"/>
  <c r="E85" i="5"/>
  <c r="A85" i="12"/>
  <c r="AD85" i="5"/>
  <c r="F85" i="5"/>
  <c r="B85" i="6"/>
  <c r="B85" i="5"/>
  <c r="W85" i="5"/>
  <c r="H85" i="12" s="1"/>
  <c r="K85" i="5"/>
  <c r="D85" i="5"/>
  <c r="B85" i="12" s="1"/>
  <c r="J85" i="5"/>
  <c r="H85" i="5"/>
  <c r="AE85" i="5"/>
  <c r="J84" i="12"/>
  <c r="L84" i="12"/>
  <c r="AQ83" i="6"/>
  <c r="AY83" i="6"/>
  <c r="AI83" i="6"/>
  <c r="AC83" i="6"/>
  <c r="AZ83" i="6"/>
  <c r="BA83" i="6"/>
  <c r="AK83" i="6"/>
  <c r="AG83" i="6"/>
  <c r="AO83" i="6"/>
  <c r="AX83" i="6"/>
  <c r="AE83" i="6"/>
  <c r="AR83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AM83" i="5"/>
  <c r="L83" i="5"/>
  <c r="I83" i="12"/>
  <c r="Z83" i="5"/>
  <c r="Y81" i="12"/>
  <c r="C82" i="6"/>
  <c r="O82" i="5"/>
  <c r="X84" i="5" l="1"/>
  <c r="I84" i="12" s="1"/>
  <c r="BB84" i="6"/>
  <c r="AM84" i="6"/>
  <c r="AU84" i="6"/>
  <c r="AG84" i="6"/>
  <c r="AO84" i="6"/>
  <c r="AP84" i="6"/>
  <c r="BE84" i="6"/>
  <c r="AX84" i="6"/>
  <c r="AV84" i="6"/>
  <c r="BG84" i="6"/>
  <c r="AI84" i="6"/>
  <c r="AY84" i="6"/>
  <c r="BF84" i="6"/>
  <c r="AN84" i="6"/>
  <c r="AR84" i="6"/>
  <c r="AZ84" i="6"/>
  <c r="AS84" i="6"/>
  <c r="AT84" i="6"/>
  <c r="AQ84" i="6"/>
  <c r="BC84" i="6"/>
  <c r="AF84" i="6"/>
  <c r="BD84" i="6"/>
  <c r="AC84" i="6"/>
  <c r="AJ84" i="6"/>
  <c r="AB84" i="6"/>
  <c r="AH84" i="6"/>
  <c r="AD84" i="6"/>
  <c r="AE84" i="6"/>
  <c r="AK84" i="6"/>
  <c r="A85" i="6"/>
  <c r="M85" i="6" s="1"/>
  <c r="AO85" i="6" s="1"/>
  <c r="K84" i="12"/>
  <c r="J86" i="5"/>
  <c r="K86" i="5"/>
  <c r="W86" i="5"/>
  <c r="H86" i="12" s="1"/>
  <c r="D86" i="5"/>
  <c r="B86" i="12" s="1"/>
  <c r="AE86" i="5"/>
  <c r="E86" i="5"/>
  <c r="F86" i="5"/>
  <c r="A86" i="12"/>
  <c r="N86" i="5"/>
  <c r="D86" i="6" s="1"/>
  <c r="H86" i="6" s="1"/>
  <c r="T86" i="5" s="1"/>
  <c r="B86" i="5"/>
  <c r="H86" i="5"/>
  <c r="G86" i="5"/>
  <c r="B86" i="6"/>
  <c r="C87" i="5"/>
  <c r="AD86" i="5"/>
  <c r="L85" i="12"/>
  <c r="J85" i="12"/>
  <c r="Y82" i="12"/>
  <c r="W82" i="12" s="1"/>
  <c r="D82" i="12"/>
  <c r="E82" i="6"/>
  <c r="W81" i="12"/>
  <c r="X81" i="12"/>
  <c r="C83" i="6"/>
  <c r="O83" i="5"/>
  <c r="G85" i="12"/>
  <c r="X85" i="5"/>
  <c r="V80" i="12"/>
  <c r="T80" i="12"/>
  <c r="U80" i="12"/>
  <c r="AB83" i="5"/>
  <c r="AA83" i="5"/>
  <c r="C83" i="12"/>
  <c r="AO83" i="12"/>
  <c r="M83" i="12"/>
  <c r="O83" i="12"/>
  <c r="N82" i="12"/>
  <c r="AM84" i="5" l="1"/>
  <c r="L84" i="5"/>
  <c r="C84" i="6" s="1"/>
  <c r="Z84" i="5"/>
  <c r="AA84" i="5" s="1"/>
  <c r="AI85" i="6"/>
  <c r="AB85" i="6"/>
  <c r="AE85" i="6"/>
  <c r="AK85" i="6"/>
  <c r="AJ85" i="6"/>
  <c r="AX85" i="6"/>
  <c r="BB85" i="6"/>
  <c r="AU85" i="6"/>
  <c r="AQ85" i="6"/>
  <c r="BG85" i="6"/>
  <c r="AS85" i="6"/>
  <c r="AT85" i="6"/>
  <c r="AN85" i="6"/>
  <c r="AR85" i="6"/>
  <c r="AM85" i="6"/>
  <c r="BA85" i="6"/>
  <c r="AP85" i="6"/>
  <c r="A86" i="6"/>
  <c r="M86" i="6" s="1"/>
  <c r="BA86" i="6" s="1"/>
  <c r="AG85" i="6"/>
  <c r="BC85" i="6"/>
  <c r="AD85" i="6"/>
  <c r="AF85" i="6"/>
  <c r="BE85" i="6"/>
  <c r="AH85" i="6"/>
  <c r="AZ85" i="6"/>
  <c r="AV85" i="6"/>
  <c r="AC85" i="6"/>
  <c r="BF85" i="6"/>
  <c r="AY85" i="6"/>
  <c r="BD85" i="6"/>
  <c r="K85" i="12"/>
  <c r="J86" i="12"/>
  <c r="L86" i="12"/>
  <c r="H87" i="5"/>
  <c r="E87" i="5"/>
  <c r="B87" i="6"/>
  <c r="D87" i="5"/>
  <c r="B87" i="12" s="1"/>
  <c r="C88" i="5"/>
  <c r="W87" i="5"/>
  <c r="H87" i="12" s="1"/>
  <c r="J87" i="5"/>
  <c r="G87" i="5"/>
  <c r="B87" i="5"/>
  <c r="K87" i="5"/>
  <c r="AE87" i="5"/>
  <c r="F87" i="5"/>
  <c r="N87" i="5"/>
  <c r="D87" i="6" s="1"/>
  <c r="H87" i="6" s="1"/>
  <c r="T87" i="5" s="1"/>
  <c r="AD87" i="5"/>
  <c r="A87" i="12"/>
  <c r="X82" i="12"/>
  <c r="C84" i="12"/>
  <c r="M84" i="12"/>
  <c r="O84" i="12"/>
  <c r="AO84" i="12"/>
  <c r="L85" i="5"/>
  <c r="I85" i="12"/>
  <c r="AM85" i="5"/>
  <c r="Z85" i="5"/>
  <c r="G86" i="12"/>
  <c r="X86" i="5"/>
  <c r="D83" i="12"/>
  <c r="E83" i="6"/>
  <c r="N83" i="12"/>
  <c r="Y83" i="12"/>
  <c r="T82" i="12"/>
  <c r="V82" i="12"/>
  <c r="U82" i="12"/>
  <c r="U81" i="12"/>
  <c r="V81" i="12"/>
  <c r="T81" i="12"/>
  <c r="AB84" i="5" l="1"/>
  <c r="O84" i="5"/>
  <c r="E84" i="6" s="1"/>
  <c r="AQ86" i="6"/>
  <c r="AD86" i="6"/>
  <c r="AR86" i="6"/>
  <c r="AY86" i="6"/>
  <c r="AH86" i="6"/>
  <c r="BC86" i="6"/>
  <c r="BD86" i="6"/>
  <c r="AV86" i="6"/>
  <c r="BG86" i="6"/>
  <c r="AN86" i="6"/>
  <c r="AZ86" i="6"/>
  <c r="AP86" i="6"/>
  <c r="AT86" i="6"/>
  <c r="AX86" i="6"/>
  <c r="AS86" i="6"/>
  <c r="AE86" i="6"/>
  <c r="AF86" i="6"/>
  <c r="AM86" i="6"/>
  <c r="AU86" i="6"/>
  <c r="AI86" i="6"/>
  <c r="AB86" i="6"/>
  <c r="AK86" i="6"/>
  <c r="AC86" i="6"/>
  <c r="BF86" i="6"/>
  <c r="BB86" i="6"/>
  <c r="AO86" i="6"/>
  <c r="BE86" i="6"/>
  <c r="AJ86" i="6"/>
  <c r="AG86" i="6"/>
  <c r="K86" i="12"/>
  <c r="A87" i="6"/>
  <c r="M87" i="6" s="1"/>
  <c r="AV87" i="6" s="1"/>
  <c r="J88" i="5"/>
  <c r="W88" i="5"/>
  <c r="H88" i="12" s="1"/>
  <c r="G88" i="5"/>
  <c r="A88" i="12"/>
  <c r="AD88" i="5"/>
  <c r="E88" i="5"/>
  <c r="N88" i="5"/>
  <c r="D88" i="6" s="1"/>
  <c r="H88" i="6" s="1"/>
  <c r="T88" i="5" s="1"/>
  <c r="C89" i="5"/>
  <c r="AE88" i="5"/>
  <c r="B88" i="6"/>
  <c r="H88" i="5"/>
  <c r="D88" i="5"/>
  <c r="B88" i="12" s="1"/>
  <c r="F88" i="5"/>
  <c r="B88" i="5"/>
  <c r="K88" i="5"/>
  <c r="J87" i="12"/>
  <c r="L87" i="12"/>
  <c r="Y84" i="12"/>
  <c r="X84" i="12" s="1"/>
  <c r="W83" i="12"/>
  <c r="X83" i="12"/>
  <c r="G87" i="12"/>
  <c r="X87" i="5"/>
  <c r="AM86" i="5"/>
  <c r="I86" i="12"/>
  <c r="L86" i="5"/>
  <c r="Z86" i="5"/>
  <c r="AA85" i="5"/>
  <c r="AB85" i="5"/>
  <c r="C85" i="12"/>
  <c r="O85" i="12"/>
  <c r="AO85" i="12"/>
  <c r="M85" i="12"/>
  <c r="C85" i="6"/>
  <c r="O85" i="5"/>
  <c r="N84" i="12"/>
  <c r="D84" i="12" l="1"/>
  <c r="AF87" i="6"/>
  <c r="BD87" i="6"/>
  <c r="AD87" i="6"/>
  <c r="AZ87" i="6"/>
  <c r="AM87" i="6"/>
  <c r="AJ87" i="6"/>
  <c r="AX87" i="6"/>
  <c r="AY87" i="6"/>
  <c r="AN87" i="6"/>
  <c r="BG87" i="6"/>
  <c r="AR87" i="6"/>
  <c r="BC87" i="6"/>
  <c r="AI87" i="6"/>
  <c r="AH87" i="6"/>
  <c r="AT87" i="6"/>
  <c r="AP87" i="6"/>
  <c r="BE87" i="6"/>
  <c r="BB87" i="6"/>
  <c r="AB87" i="6"/>
  <c r="BA87" i="6"/>
  <c r="AO87" i="6"/>
  <c r="BF87" i="6"/>
  <c r="AK87" i="6"/>
  <c r="AS87" i="6"/>
  <c r="AC87" i="6"/>
  <c r="AE87" i="6"/>
  <c r="AU87" i="6"/>
  <c r="AQ87" i="6"/>
  <c r="AG87" i="6"/>
  <c r="K87" i="12"/>
  <c r="C90" i="5"/>
  <c r="B89" i="5"/>
  <c r="F89" i="5"/>
  <c r="AE89" i="5"/>
  <c r="J89" i="5"/>
  <c r="E89" i="5"/>
  <c r="K89" i="5"/>
  <c r="W89" i="5"/>
  <c r="H89" i="12" s="1"/>
  <c r="A89" i="12"/>
  <c r="N89" i="5"/>
  <c r="D89" i="6" s="1"/>
  <c r="H89" i="6" s="1"/>
  <c r="T89" i="5" s="1"/>
  <c r="B89" i="6"/>
  <c r="H89" i="5"/>
  <c r="AD89" i="5"/>
  <c r="D89" i="5"/>
  <c r="B89" i="12" s="1"/>
  <c r="G89" i="5"/>
  <c r="J88" i="12"/>
  <c r="L88" i="12"/>
  <c r="A88" i="6"/>
  <c r="M88" i="6" s="1"/>
  <c r="AN88" i="6" s="1"/>
  <c r="W84" i="12"/>
  <c r="U84" i="12" s="1"/>
  <c r="D85" i="12"/>
  <c r="E85" i="6"/>
  <c r="N85" i="12"/>
  <c r="C86" i="12"/>
  <c r="AO86" i="12"/>
  <c r="M86" i="12"/>
  <c r="O86" i="12"/>
  <c r="I87" i="12"/>
  <c r="L87" i="5"/>
  <c r="AM87" i="5"/>
  <c r="Z87" i="5"/>
  <c r="G88" i="12"/>
  <c r="X88" i="5"/>
  <c r="Y85" i="12"/>
  <c r="AA86" i="5"/>
  <c r="AB86" i="5"/>
  <c r="C86" i="6"/>
  <c r="O86" i="5"/>
  <c r="U83" i="12"/>
  <c r="V83" i="12"/>
  <c r="T83" i="12"/>
  <c r="V84" i="12" l="1"/>
  <c r="AE88" i="6"/>
  <c r="A89" i="6"/>
  <c r="M89" i="6" s="1"/>
  <c r="AT89" i="6" s="1"/>
  <c r="AR88" i="6"/>
  <c r="AD88" i="6"/>
  <c r="AG88" i="6"/>
  <c r="AU88" i="6"/>
  <c r="AH88" i="6"/>
  <c r="BD88" i="6"/>
  <c r="AC88" i="6"/>
  <c r="AM88" i="6"/>
  <c r="BB88" i="6"/>
  <c r="AS88" i="6"/>
  <c r="AT88" i="6"/>
  <c r="BE88" i="6"/>
  <c r="AB88" i="6"/>
  <c r="BG88" i="6"/>
  <c r="AZ88" i="6"/>
  <c r="AX88" i="6"/>
  <c r="AJ88" i="6"/>
  <c r="BC88" i="6"/>
  <c r="AQ88" i="6"/>
  <c r="AP88" i="6"/>
  <c r="AI88" i="6"/>
  <c r="AY88" i="6"/>
  <c r="AV88" i="6"/>
  <c r="AO88" i="6"/>
  <c r="AF88" i="6"/>
  <c r="BA88" i="6"/>
  <c r="AK88" i="6"/>
  <c r="BF88" i="6"/>
  <c r="K88" i="12"/>
  <c r="J89" i="12"/>
  <c r="L89" i="12"/>
  <c r="H90" i="5"/>
  <c r="E90" i="5"/>
  <c r="A90" i="12"/>
  <c r="G90" i="5"/>
  <c r="N90" i="5"/>
  <c r="D90" i="6" s="1"/>
  <c r="H90" i="6" s="1"/>
  <c r="T90" i="5" s="1"/>
  <c r="F90" i="5"/>
  <c r="D90" i="5"/>
  <c r="B90" i="12" s="1"/>
  <c r="W90" i="5"/>
  <c r="H90" i="12" s="1"/>
  <c r="J90" i="5"/>
  <c r="AD90" i="5"/>
  <c r="B90" i="6"/>
  <c r="AE90" i="5"/>
  <c r="B90" i="5"/>
  <c r="C91" i="5"/>
  <c r="K90" i="5"/>
  <c r="T84" i="12"/>
  <c r="E86" i="6"/>
  <c r="D86" i="12"/>
  <c r="X85" i="12"/>
  <c r="W85" i="12"/>
  <c r="AA87" i="5"/>
  <c r="AB87" i="5"/>
  <c r="C87" i="12"/>
  <c r="AO87" i="12"/>
  <c r="O87" i="12"/>
  <c r="M87" i="12"/>
  <c r="AM88" i="5"/>
  <c r="I88" i="12"/>
  <c r="L88" i="5"/>
  <c r="Z88" i="5"/>
  <c r="C87" i="6"/>
  <c r="O87" i="5"/>
  <c r="N86" i="12"/>
  <c r="Y86" i="12"/>
  <c r="G89" i="12"/>
  <c r="X89" i="5"/>
  <c r="BB89" i="6" l="1"/>
  <c r="AI89" i="6"/>
  <c r="AO89" i="6"/>
  <c r="AB89" i="6"/>
  <c r="AK89" i="6"/>
  <c r="AU89" i="6"/>
  <c r="BA89" i="6"/>
  <c r="BF89" i="6"/>
  <c r="AV89" i="6"/>
  <c r="AE89" i="6"/>
  <c r="AH89" i="6"/>
  <c r="BD89" i="6"/>
  <c r="AF89" i="6"/>
  <c r="AQ89" i="6"/>
  <c r="BG89" i="6"/>
  <c r="AX89" i="6"/>
  <c r="AY89" i="6"/>
  <c r="AG89" i="6"/>
  <c r="AZ89" i="6"/>
  <c r="AD89" i="6"/>
  <c r="AS89" i="6"/>
  <c r="AJ89" i="6"/>
  <c r="A90" i="6"/>
  <c r="M90" i="6" s="1"/>
  <c r="AT90" i="6" s="1"/>
  <c r="BE89" i="6"/>
  <c r="AP89" i="6"/>
  <c r="AC89" i="6"/>
  <c r="AN89" i="6"/>
  <c r="AM89" i="6"/>
  <c r="BC89" i="6"/>
  <c r="AR89" i="6"/>
  <c r="K89" i="12"/>
  <c r="J90" i="12"/>
  <c r="L90" i="12"/>
  <c r="J91" i="5"/>
  <c r="K91" i="5"/>
  <c r="D91" i="5"/>
  <c r="B91" i="12" s="1"/>
  <c r="H91" i="5"/>
  <c r="G91" i="5"/>
  <c r="E91" i="5"/>
  <c r="F91" i="5"/>
  <c r="AD91" i="5"/>
  <c r="A91" i="12"/>
  <c r="C92" i="5"/>
  <c r="W91" i="5"/>
  <c r="H91" i="12" s="1"/>
  <c r="B91" i="5"/>
  <c r="N91" i="5"/>
  <c r="D91" i="6" s="1"/>
  <c r="H91" i="6" s="1"/>
  <c r="T91" i="5" s="1"/>
  <c r="B91" i="6"/>
  <c r="AE91" i="5"/>
  <c r="N87" i="12"/>
  <c r="G90" i="12"/>
  <c r="X90" i="5"/>
  <c r="AB88" i="5"/>
  <c r="AA88" i="5"/>
  <c r="C88" i="6"/>
  <c r="O88" i="5"/>
  <c r="U85" i="12"/>
  <c r="V85" i="12"/>
  <c r="T85" i="12"/>
  <c r="I89" i="12"/>
  <c r="L89" i="5"/>
  <c r="AM89" i="5"/>
  <c r="Z89" i="5"/>
  <c r="X86" i="12"/>
  <c r="W86" i="12"/>
  <c r="D87" i="12"/>
  <c r="E87" i="6"/>
  <c r="C88" i="12"/>
  <c r="M88" i="12"/>
  <c r="AO88" i="12"/>
  <c r="O88" i="12"/>
  <c r="Y87" i="12"/>
  <c r="A91" i="6" l="1"/>
  <c r="M91" i="6" s="1"/>
  <c r="BE91" i="6" s="1"/>
  <c r="K90" i="12"/>
  <c r="J92" i="5"/>
  <c r="B92" i="5"/>
  <c r="A92" i="12"/>
  <c r="W92" i="5"/>
  <c r="H92" i="12" s="1"/>
  <c r="F92" i="5"/>
  <c r="D92" i="5"/>
  <c r="B92" i="12" s="1"/>
  <c r="C93" i="5"/>
  <c r="K92" i="5"/>
  <c r="E92" i="5"/>
  <c r="AD92" i="5"/>
  <c r="H92" i="5"/>
  <c r="G92" i="5"/>
  <c r="AE92" i="5"/>
  <c r="N92" i="5"/>
  <c r="D92" i="6" s="1"/>
  <c r="B92" i="6"/>
  <c r="J91" i="12"/>
  <c r="L91" i="12"/>
  <c r="AR90" i="6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V86" i="12"/>
  <c r="T86" i="12"/>
  <c r="U86" i="12"/>
  <c r="C89" i="6"/>
  <c r="O89" i="5"/>
  <c r="D88" i="12"/>
  <c r="E88" i="6"/>
  <c r="I90" i="12"/>
  <c r="AM90" i="5"/>
  <c r="L90" i="5"/>
  <c r="Z90" i="5"/>
  <c r="X87" i="12"/>
  <c r="W87" i="12"/>
  <c r="Y88" i="12"/>
  <c r="AA89" i="5"/>
  <c r="AB89" i="5"/>
  <c r="C89" i="12"/>
  <c r="M89" i="12"/>
  <c r="AO89" i="12"/>
  <c r="O89" i="12"/>
  <c r="G91" i="12"/>
  <c r="X91" i="5"/>
  <c r="A92" i="6" l="1"/>
  <c r="M92" i="6" s="1"/>
  <c r="AP92" i="6" s="1"/>
  <c r="H92" i="6"/>
  <c r="T92" i="5" s="1"/>
  <c r="G92" i="12" s="1"/>
  <c r="B93" i="5"/>
  <c r="AE93" i="5"/>
  <c r="F93" i="5"/>
  <c r="C94" i="5"/>
  <c r="AD93" i="5"/>
  <c r="K93" i="5"/>
  <c r="D93" i="5"/>
  <c r="B93" i="12" s="1"/>
  <c r="E93" i="5"/>
  <c r="H93" i="5"/>
  <c r="W93" i="5"/>
  <c r="H93" i="12" s="1"/>
  <c r="B93" i="6"/>
  <c r="G93" i="5"/>
  <c r="J93" i="5"/>
  <c r="N93" i="5"/>
  <c r="D93" i="6" s="1"/>
  <c r="H93" i="6" s="1"/>
  <c r="T93" i="5" s="1"/>
  <c r="A93" i="12"/>
  <c r="J92" i="12"/>
  <c r="L92" i="12"/>
  <c r="K91" i="12"/>
  <c r="N89" i="12"/>
  <c r="AS91" i="6"/>
  <c r="AF91" i="6"/>
  <c r="AY91" i="6"/>
  <c r="AN91" i="6"/>
  <c r="AU91" i="6"/>
  <c r="AG91" i="6"/>
  <c r="AT91" i="6"/>
  <c r="AV91" i="6"/>
  <c r="AR91" i="6"/>
  <c r="AD91" i="6"/>
  <c r="BG91" i="6"/>
  <c r="AQ91" i="6"/>
  <c r="AH91" i="6"/>
  <c r="BD91" i="6"/>
  <c r="AJ91" i="6"/>
  <c r="AZ91" i="6"/>
  <c r="BF91" i="6"/>
  <c r="AX91" i="6"/>
  <c r="AM91" i="6"/>
  <c r="AK91" i="6"/>
  <c r="AO91" i="6"/>
  <c r="BB91" i="6"/>
  <c r="AB91" i="6"/>
  <c r="AC91" i="6"/>
  <c r="AE91" i="6"/>
  <c r="BC91" i="6"/>
  <c r="AI91" i="6"/>
  <c r="BA91" i="6"/>
  <c r="AP91" i="6"/>
  <c r="V87" i="12"/>
  <c r="U87" i="12"/>
  <c r="T87" i="12"/>
  <c r="AB90" i="5"/>
  <c r="AA90" i="5"/>
  <c r="D89" i="12"/>
  <c r="E89" i="6"/>
  <c r="I91" i="12"/>
  <c r="AM91" i="5"/>
  <c r="L91" i="5"/>
  <c r="Z91" i="5"/>
  <c r="Y89" i="12"/>
  <c r="X88" i="12"/>
  <c r="W88" i="12"/>
  <c r="C90" i="6"/>
  <c r="O90" i="5"/>
  <c r="C90" i="12"/>
  <c r="AO90" i="12"/>
  <c r="M90" i="12"/>
  <c r="O90" i="12"/>
  <c r="X92" i="5" l="1"/>
  <c r="I92" i="12" s="1"/>
  <c r="AK92" i="6"/>
  <c r="AC92" i="6"/>
  <c r="AD92" i="6"/>
  <c r="AI92" i="6"/>
  <c r="AF92" i="6"/>
  <c r="AZ92" i="6"/>
  <c r="AV92" i="6"/>
  <c r="BB92" i="6"/>
  <c r="AT92" i="6"/>
  <c r="BF92" i="6"/>
  <c r="BC92" i="6"/>
  <c r="AX92" i="6"/>
  <c r="AR92" i="6"/>
  <c r="AJ92" i="6"/>
  <c r="AG92" i="6"/>
  <c r="AY92" i="6"/>
  <c r="BG92" i="6"/>
  <c r="AO92" i="6"/>
  <c r="AN92" i="6"/>
  <c r="BE92" i="6"/>
  <c r="AB92" i="6"/>
  <c r="BD92" i="6"/>
  <c r="AS92" i="6"/>
  <c r="AE92" i="6"/>
  <c r="BA92" i="6"/>
  <c r="AH92" i="6"/>
  <c r="AM92" i="6"/>
  <c r="AU92" i="6"/>
  <c r="AQ92" i="6"/>
  <c r="K92" i="12"/>
  <c r="A93" i="6"/>
  <c r="M93" i="6" s="1"/>
  <c r="AR93" i="6" s="1"/>
  <c r="W94" i="5"/>
  <c r="H94" i="12" s="1"/>
  <c r="D94" i="5"/>
  <c r="B94" i="12" s="1"/>
  <c r="E94" i="5"/>
  <c r="B94" i="6"/>
  <c r="AE94" i="5"/>
  <c r="K94" i="5"/>
  <c r="A94" i="12"/>
  <c r="G94" i="5"/>
  <c r="C95" i="5"/>
  <c r="N94" i="5"/>
  <c r="D94" i="6" s="1"/>
  <c r="H94" i="6" s="1"/>
  <c r="T94" i="5" s="1"/>
  <c r="F94" i="5"/>
  <c r="B94" i="5"/>
  <c r="AD94" i="5"/>
  <c r="J94" i="5"/>
  <c r="H94" i="5"/>
  <c r="L93" i="12"/>
  <c r="J93" i="12"/>
  <c r="N90" i="12"/>
  <c r="Y90" i="12"/>
  <c r="E90" i="6"/>
  <c r="D90" i="12"/>
  <c r="U88" i="12"/>
  <c r="V88" i="12"/>
  <c r="T88" i="12"/>
  <c r="X89" i="12"/>
  <c r="W89" i="12"/>
  <c r="C91" i="6"/>
  <c r="O91" i="5"/>
  <c r="C91" i="12"/>
  <c r="O91" i="12"/>
  <c r="M91" i="12"/>
  <c r="AO91" i="12"/>
  <c r="AA91" i="5"/>
  <c r="AB91" i="5"/>
  <c r="G93" i="12"/>
  <c r="X93" i="5"/>
  <c r="AM92" i="5" l="1"/>
  <c r="Z92" i="5"/>
  <c r="AA92" i="5" s="1"/>
  <c r="L92" i="5"/>
  <c r="AI93" i="6"/>
  <c r="BG93" i="6"/>
  <c r="BE93" i="6"/>
  <c r="BB93" i="6"/>
  <c r="AE93" i="6"/>
  <c r="A94" i="6"/>
  <c r="M94" i="6" s="1"/>
  <c r="AX94" i="6" s="1"/>
  <c r="AK93" i="6"/>
  <c r="AF93" i="6"/>
  <c r="AT93" i="6"/>
  <c r="AB93" i="6"/>
  <c r="AP93" i="6"/>
  <c r="AZ93" i="6"/>
  <c r="AY93" i="6"/>
  <c r="AN93" i="6"/>
  <c r="BC93" i="6"/>
  <c r="AD93" i="6"/>
  <c r="AX93" i="6"/>
  <c r="BF93" i="6"/>
  <c r="AV93" i="6"/>
  <c r="AC93" i="6"/>
  <c r="AM93" i="6"/>
  <c r="BD93" i="6"/>
  <c r="AU93" i="6"/>
  <c r="AJ93" i="6"/>
  <c r="AS93" i="6"/>
  <c r="AQ93" i="6"/>
  <c r="BA93" i="6"/>
  <c r="AG93" i="6"/>
  <c r="AO93" i="6"/>
  <c r="AH93" i="6"/>
  <c r="K93" i="12"/>
  <c r="J94" i="12"/>
  <c r="L94" i="12"/>
  <c r="A95" i="12"/>
  <c r="F95" i="5"/>
  <c r="C96" i="5"/>
  <c r="J95" i="5"/>
  <c r="G95" i="5"/>
  <c r="AD95" i="5"/>
  <c r="E95" i="5"/>
  <c r="AE95" i="5"/>
  <c r="B95" i="5"/>
  <c r="H95" i="5"/>
  <c r="W95" i="5"/>
  <c r="H95" i="12" s="1"/>
  <c r="K95" i="5"/>
  <c r="B95" i="6"/>
  <c r="N95" i="5"/>
  <c r="D95" i="6" s="1"/>
  <c r="H95" i="6" s="1"/>
  <c r="T95" i="5" s="1"/>
  <c r="D95" i="5"/>
  <c r="B95" i="12" s="1"/>
  <c r="Y91" i="12"/>
  <c r="W91" i="12" s="1"/>
  <c r="N91" i="12"/>
  <c r="C92" i="12"/>
  <c r="M92" i="12"/>
  <c r="O92" i="12"/>
  <c r="AO92" i="12"/>
  <c r="D91" i="12"/>
  <c r="E91" i="6"/>
  <c r="T89" i="12"/>
  <c r="V89" i="12"/>
  <c r="U89" i="12"/>
  <c r="G94" i="12"/>
  <c r="X94" i="5"/>
  <c r="L93" i="5"/>
  <c r="AM93" i="5"/>
  <c r="I93" i="12"/>
  <c r="Z93" i="5"/>
  <c r="C92" i="6"/>
  <c r="O92" i="5"/>
  <c r="W90" i="12"/>
  <c r="X90" i="12"/>
  <c r="AB92" i="5" l="1"/>
  <c r="AF94" i="6"/>
  <c r="BF94" i="6"/>
  <c r="AQ94" i="6"/>
  <c r="A95" i="6"/>
  <c r="M95" i="6" s="1"/>
  <c r="AI95" i="6" s="1"/>
  <c r="AM94" i="6"/>
  <c r="AB94" i="6"/>
  <c r="BA94" i="6"/>
  <c r="AC94" i="6"/>
  <c r="AO94" i="6"/>
  <c r="AS94" i="6"/>
  <c r="AH94" i="6"/>
  <c r="AI94" i="6"/>
  <c r="AR94" i="6"/>
  <c r="AU94" i="6"/>
  <c r="AV94" i="6"/>
  <c r="AT94" i="6"/>
  <c r="AN94" i="6"/>
  <c r="AZ94" i="6"/>
  <c r="BC94" i="6"/>
  <c r="AJ94" i="6"/>
  <c r="BE94" i="6"/>
  <c r="BB94" i="6"/>
  <c r="BG94" i="6"/>
  <c r="AK94" i="6"/>
  <c r="AP94" i="6"/>
  <c r="AE94" i="6"/>
  <c r="AG94" i="6"/>
  <c r="AY94" i="6"/>
  <c r="AD94" i="6"/>
  <c r="BD94" i="6"/>
  <c r="K94" i="12"/>
  <c r="J95" i="12"/>
  <c r="L95" i="12"/>
  <c r="B96" i="5"/>
  <c r="D96" i="5"/>
  <c r="B96" i="12" s="1"/>
  <c r="B96" i="6"/>
  <c r="AE96" i="5"/>
  <c r="N96" i="5"/>
  <c r="D96" i="6" s="1"/>
  <c r="H96" i="6" s="1"/>
  <c r="T96" i="5" s="1"/>
  <c r="A96" i="12"/>
  <c r="K96" i="5"/>
  <c r="G96" i="5"/>
  <c r="J96" i="5"/>
  <c r="E96" i="5"/>
  <c r="AD96" i="5"/>
  <c r="W96" i="5"/>
  <c r="H96" i="12" s="1"/>
  <c r="C97" i="5"/>
  <c r="F96" i="5"/>
  <c r="H96" i="5"/>
  <c r="X91" i="12"/>
  <c r="N92" i="12"/>
  <c r="T90" i="12"/>
  <c r="U90" i="12"/>
  <c r="V90" i="12"/>
  <c r="C93" i="12"/>
  <c r="O93" i="12"/>
  <c r="AO93" i="12"/>
  <c r="M93" i="12"/>
  <c r="C93" i="6"/>
  <c r="O93" i="5"/>
  <c r="E92" i="6"/>
  <c r="D92" i="12"/>
  <c r="AB93" i="5"/>
  <c r="AA93" i="5"/>
  <c r="I94" i="12"/>
  <c r="AM94" i="5"/>
  <c r="L94" i="5"/>
  <c r="Z94" i="5"/>
  <c r="G95" i="12"/>
  <c r="X95" i="5"/>
  <c r="T91" i="12"/>
  <c r="U91" i="12"/>
  <c r="V91" i="12"/>
  <c r="Y92" i="12"/>
  <c r="A96" i="6" l="1"/>
  <c r="M96" i="6" s="1"/>
  <c r="AU96" i="6" s="1"/>
  <c r="K95" i="12"/>
  <c r="J96" i="12"/>
  <c r="L96" i="12"/>
  <c r="AE97" i="5"/>
  <c r="D97" i="5"/>
  <c r="B97" i="12" s="1"/>
  <c r="B97" i="5"/>
  <c r="G97" i="5"/>
  <c r="J97" i="5"/>
  <c r="B97" i="6"/>
  <c r="W97" i="5"/>
  <c r="H97" i="12" s="1"/>
  <c r="F97" i="5"/>
  <c r="AD97" i="5"/>
  <c r="K97" i="5"/>
  <c r="C98" i="5"/>
  <c r="A97" i="12"/>
  <c r="N97" i="5"/>
  <c r="D97" i="6" s="1"/>
  <c r="H97" i="6" s="1"/>
  <c r="T97" i="5" s="1"/>
  <c r="H97" i="5"/>
  <c r="E97" i="5"/>
  <c r="Y93" i="12"/>
  <c r="X93" i="12" s="1"/>
  <c r="C94" i="6"/>
  <c r="O94" i="5"/>
  <c r="C94" i="12"/>
  <c r="O94" i="12"/>
  <c r="M94" i="12"/>
  <c r="AO94" i="12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A94" i="5"/>
  <c r="AB94" i="5"/>
  <c r="G96" i="12"/>
  <c r="X96" i="5"/>
  <c r="D93" i="12"/>
  <c r="E93" i="6"/>
  <c r="N93" i="12"/>
  <c r="BC96" i="6" l="1"/>
  <c r="BF96" i="6"/>
  <c r="AB96" i="6"/>
  <c r="AI96" i="6"/>
  <c r="AT96" i="6"/>
  <c r="AX96" i="6"/>
  <c r="BD96" i="6"/>
  <c r="AR96" i="6"/>
  <c r="AP96" i="6"/>
  <c r="W93" i="12"/>
  <c r="T93" i="12" s="1"/>
  <c r="AN96" i="6"/>
  <c r="AK96" i="6"/>
  <c r="AE96" i="6"/>
  <c r="AV96" i="6"/>
  <c r="AM96" i="6"/>
  <c r="AY96" i="6"/>
  <c r="AH96" i="6"/>
  <c r="AS96" i="6"/>
  <c r="K96" i="12"/>
  <c r="AZ96" i="6"/>
  <c r="AD96" i="6"/>
  <c r="BG96" i="6"/>
  <c r="AC96" i="6"/>
  <c r="AG96" i="6"/>
  <c r="AF96" i="6"/>
  <c r="AO96" i="6"/>
  <c r="BB96" i="6"/>
  <c r="AJ96" i="6"/>
  <c r="AQ96" i="6"/>
  <c r="BE96" i="6"/>
  <c r="BA96" i="6"/>
  <c r="A97" i="6"/>
  <c r="M97" i="6" s="1"/>
  <c r="AT97" i="6" s="1"/>
  <c r="J97" i="12"/>
  <c r="L97" i="12"/>
  <c r="W98" i="5"/>
  <c r="H98" i="12" s="1"/>
  <c r="G98" i="5"/>
  <c r="D98" i="5"/>
  <c r="B98" i="12" s="1"/>
  <c r="B98" i="5"/>
  <c r="AD98" i="5"/>
  <c r="C99" i="5"/>
  <c r="AE98" i="5"/>
  <c r="E98" i="5"/>
  <c r="N98" i="5"/>
  <c r="D98" i="6" s="1"/>
  <c r="H98" i="6" s="1"/>
  <c r="T98" i="5" s="1"/>
  <c r="H98" i="5"/>
  <c r="J98" i="5"/>
  <c r="A98" i="12"/>
  <c r="F98" i="5"/>
  <c r="B98" i="6"/>
  <c r="K98" i="5"/>
  <c r="Y94" i="12"/>
  <c r="W94" i="12" s="1"/>
  <c r="AM96" i="5"/>
  <c r="L96" i="5"/>
  <c r="I96" i="12"/>
  <c r="Z96" i="5"/>
  <c r="C95" i="12"/>
  <c r="M95" i="12"/>
  <c r="O95" i="12"/>
  <c r="AO95" i="12"/>
  <c r="G97" i="12"/>
  <c r="X97" i="5"/>
  <c r="AB95" i="5"/>
  <c r="AA95" i="5"/>
  <c r="C95" i="6"/>
  <c r="O95" i="5"/>
  <c r="T92" i="12"/>
  <c r="V92" i="12"/>
  <c r="U92" i="12"/>
  <c r="N94" i="12"/>
  <c r="D94" i="12"/>
  <c r="E94" i="6"/>
  <c r="A98" i="6" l="1"/>
  <c r="M98" i="6" s="1"/>
  <c r="BF98" i="6" s="1"/>
  <c r="U93" i="12"/>
  <c r="V93" i="12"/>
  <c r="AY97" i="6"/>
  <c r="AR97" i="6"/>
  <c r="AZ97" i="6"/>
  <c r="BB97" i="6"/>
  <c r="BC97" i="6"/>
  <c r="AH97" i="6"/>
  <c r="BF97" i="6"/>
  <c r="BG97" i="6"/>
  <c r="AM97" i="6"/>
  <c r="K97" i="12"/>
  <c r="AJ97" i="6"/>
  <c r="AQ97" i="6"/>
  <c r="AU97" i="6"/>
  <c r="AF97" i="6"/>
  <c r="AI97" i="6"/>
  <c r="AK97" i="6"/>
  <c r="AP97" i="6"/>
  <c r="AV97" i="6"/>
  <c r="AC97" i="6"/>
  <c r="AN97" i="6"/>
  <c r="AE97" i="6"/>
  <c r="BE97" i="6"/>
  <c r="AD97" i="6"/>
  <c r="BA97" i="6"/>
  <c r="AO97" i="6"/>
  <c r="AS97" i="6"/>
  <c r="AG97" i="6"/>
  <c r="BD97" i="6"/>
  <c r="AX97" i="6"/>
  <c r="AB97" i="6"/>
  <c r="W99" i="5"/>
  <c r="H99" i="12" s="1"/>
  <c r="AD99" i="5"/>
  <c r="D99" i="5"/>
  <c r="B99" i="12" s="1"/>
  <c r="F99" i="5"/>
  <c r="B99" i="6"/>
  <c r="N99" i="5"/>
  <c r="D99" i="6" s="1"/>
  <c r="H99" i="6" s="1"/>
  <c r="T99" i="5" s="1"/>
  <c r="K99" i="5"/>
  <c r="B99" i="5"/>
  <c r="A99" i="12"/>
  <c r="C100" i="5"/>
  <c r="E99" i="5"/>
  <c r="G99" i="5"/>
  <c r="H99" i="5"/>
  <c r="J99" i="5"/>
  <c r="AE99" i="5"/>
  <c r="L98" i="12"/>
  <c r="J98" i="12"/>
  <c r="X94" i="12"/>
  <c r="Y95" i="12"/>
  <c r="X95" i="12" s="1"/>
  <c r="U94" i="12"/>
  <c r="V94" i="12"/>
  <c r="T94" i="12"/>
  <c r="G98" i="12"/>
  <c r="X98" i="5"/>
  <c r="E95" i="6"/>
  <c r="D95" i="12"/>
  <c r="AM97" i="5"/>
  <c r="L97" i="5"/>
  <c r="I97" i="12"/>
  <c r="Z97" i="5"/>
  <c r="AA96" i="5"/>
  <c r="AB96" i="5"/>
  <c r="C96" i="6"/>
  <c r="O96" i="5"/>
  <c r="N95" i="12"/>
  <c r="C96" i="12"/>
  <c r="AO96" i="12"/>
  <c r="M96" i="12"/>
  <c r="O96" i="12"/>
  <c r="BC98" i="6" l="1"/>
  <c r="AK98" i="6"/>
  <c r="AQ98" i="6"/>
  <c r="AI98" i="6"/>
  <c r="AH98" i="6"/>
  <c r="AE98" i="6"/>
  <c r="BD98" i="6"/>
  <c r="AB98" i="6"/>
  <c r="AC98" i="6"/>
  <c r="AF98" i="6"/>
  <c r="BE98" i="6"/>
  <c r="AT98" i="6"/>
  <c r="AN98" i="6"/>
  <c r="AJ98" i="6"/>
  <c r="AY98" i="6"/>
  <c r="AG98" i="6"/>
  <c r="BG98" i="6"/>
  <c r="BA98" i="6"/>
  <c r="AX98" i="6"/>
  <c r="AZ98" i="6"/>
  <c r="AR98" i="6"/>
  <c r="BB98" i="6"/>
  <c r="AV98" i="6"/>
  <c r="AU98" i="6"/>
  <c r="AD98" i="6"/>
  <c r="AM98" i="6"/>
  <c r="AP98" i="6"/>
  <c r="AO98" i="6"/>
  <c r="AS98" i="6"/>
  <c r="A99" i="6"/>
  <c r="M99" i="6" s="1"/>
  <c r="AM99" i="6" s="1"/>
  <c r="K98" i="12"/>
  <c r="B100" i="6"/>
  <c r="AD100" i="5"/>
  <c r="F100" i="5"/>
  <c r="E100" i="5"/>
  <c r="B100" i="5"/>
  <c r="J100" i="5"/>
  <c r="AE100" i="5"/>
  <c r="W100" i="5"/>
  <c r="H100" i="12" s="1"/>
  <c r="N100" i="5"/>
  <c r="D100" i="6" s="1"/>
  <c r="H100" i="6" s="1"/>
  <c r="T100" i="5" s="1"/>
  <c r="C101" i="5"/>
  <c r="K100" i="5"/>
  <c r="D100" i="5"/>
  <c r="B100" i="12" s="1"/>
  <c r="H100" i="5"/>
  <c r="A100" i="12"/>
  <c r="G100" i="5"/>
  <c r="L99" i="12"/>
  <c r="J99" i="12"/>
  <c r="W95" i="12"/>
  <c r="V95" i="12" s="1"/>
  <c r="N96" i="12"/>
  <c r="Y96" i="12"/>
  <c r="G99" i="12"/>
  <c r="X99" i="5"/>
  <c r="D96" i="12"/>
  <c r="E96" i="6"/>
  <c r="C97" i="12"/>
  <c r="AO97" i="12"/>
  <c r="M97" i="12"/>
  <c r="O97" i="12"/>
  <c r="AA97" i="5"/>
  <c r="AB97" i="5"/>
  <c r="C97" i="6"/>
  <c r="O97" i="5"/>
  <c r="L98" i="5"/>
  <c r="I98" i="12"/>
  <c r="AM98" i="5"/>
  <c r="Z98" i="5"/>
  <c r="AF99" i="6" l="1"/>
  <c r="AS99" i="6"/>
  <c r="AO99" i="6"/>
  <c r="AE99" i="6"/>
  <c r="AB99" i="6"/>
  <c r="AJ99" i="6"/>
  <c r="AV99" i="6"/>
  <c r="AN99" i="6"/>
  <c r="AT99" i="6"/>
  <c r="BB99" i="6"/>
  <c r="AD99" i="6"/>
  <c r="A100" i="6"/>
  <c r="M100" i="6" s="1"/>
  <c r="AS100" i="6" s="1"/>
  <c r="AK99" i="6"/>
  <c r="AH99" i="6"/>
  <c r="AR99" i="6"/>
  <c r="AU99" i="6"/>
  <c r="AC99" i="6"/>
  <c r="AQ99" i="6"/>
  <c r="BD99" i="6"/>
  <c r="AP99" i="6"/>
  <c r="BC99" i="6"/>
  <c r="AG99" i="6"/>
  <c r="AZ99" i="6"/>
  <c r="BG99" i="6"/>
  <c r="BF99" i="6"/>
  <c r="AX99" i="6"/>
  <c r="BE99" i="6"/>
  <c r="AI99" i="6"/>
  <c r="AY99" i="6"/>
  <c r="BA99" i="6"/>
  <c r="K99" i="12"/>
  <c r="J100" i="12"/>
  <c r="L100" i="12"/>
  <c r="AE101" i="5"/>
  <c r="G101" i="5"/>
  <c r="B101" i="5"/>
  <c r="F101" i="5"/>
  <c r="N101" i="5"/>
  <c r="D101" i="6" s="1"/>
  <c r="H101" i="6" s="1"/>
  <c r="T101" i="5" s="1"/>
  <c r="J101" i="5"/>
  <c r="A101" i="12"/>
  <c r="E101" i="5"/>
  <c r="B101" i="6"/>
  <c r="W101" i="5"/>
  <c r="H101" i="12" s="1"/>
  <c r="AD101" i="5"/>
  <c r="D101" i="5"/>
  <c r="B101" i="12" s="1"/>
  <c r="H101" i="5"/>
  <c r="C102" i="5"/>
  <c r="K101" i="5"/>
  <c r="T95" i="12"/>
  <c r="U95" i="12"/>
  <c r="N97" i="12"/>
  <c r="AB98" i="5"/>
  <c r="AA98" i="5"/>
  <c r="C98" i="12"/>
  <c r="AO98" i="12"/>
  <c r="O98" i="12"/>
  <c r="M98" i="12"/>
  <c r="E97" i="6"/>
  <c r="D97" i="12"/>
  <c r="G100" i="12"/>
  <c r="X100" i="5"/>
  <c r="Y97" i="12"/>
  <c r="C98" i="6"/>
  <c r="O98" i="5"/>
  <c r="AM99" i="5"/>
  <c r="L99" i="5"/>
  <c r="I99" i="12"/>
  <c r="Z99" i="5"/>
  <c r="W96" i="12"/>
  <c r="X96" i="12"/>
  <c r="AU100" i="6" l="1"/>
  <c r="AN100" i="6"/>
  <c r="AC100" i="6"/>
  <c r="AZ100" i="6"/>
  <c r="BC100" i="6"/>
  <c r="AD100" i="6"/>
  <c r="BE100" i="6"/>
  <c r="AF100" i="6"/>
  <c r="AJ100" i="6"/>
  <c r="BG100" i="6"/>
  <c r="AK100" i="6"/>
  <c r="AG100" i="6"/>
  <c r="AP100" i="6"/>
  <c r="BD100" i="6"/>
  <c r="AM100" i="6"/>
  <c r="AY100" i="6"/>
  <c r="AE100" i="6"/>
  <c r="BB100" i="6"/>
  <c r="AQ100" i="6"/>
  <c r="BA100" i="6"/>
  <c r="AB100" i="6"/>
  <c r="AH100" i="6"/>
  <c r="AR100" i="6"/>
  <c r="AO100" i="6"/>
  <c r="AV100" i="6"/>
  <c r="BF100" i="6"/>
  <c r="AX100" i="6"/>
  <c r="AI100" i="6"/>
  <c r="AT100" i="6"/>
  <c r="A101" i="6"/>
  <c r="M101" i="6" s="1"/>
  <c r="BC101" i="6" s="1"/>
  <c r="K100" i="12"/>
  <c r="A102" i="12"/>
  <c r="J102" i="5"/>
  <c r="H102" i="5"/>
  <c r="G102" i="5"/>
  <c r="E102" i="5"/>
  <c r="K102" i="5"/>
  <c r="AE102" i="5"/>
  <c r="F102" i="5"/>
  <c r="W102" i="5"/>
  <c r="H102" i="12" s="1"/>
  <c r="D102" i="5"/>
  <c r="B102" i="12" s="1"/>
  <c r="AD102" i="5"/>
  <c r="B102" i="6"/>
  <c r="N102" i="5"/>
  <c r="D102" i="6" s="1"/>
  <c r="H102" i="6" s="1"/>
  <c r="T102" i="5" s="1"/>
  <c r="B102" i="5"/>
  <c r="C103" i="5"/>
  <c r="J101" i="12"/>
  <c r="L101" i="12"/>
  <c r="Y98" i="12"/>
  <c r="W98" i="12" s="1"/>
  <c r="V96" i="12"/>
  <c r="T96" i="12"/>
  <c r="U96" i="12"/>
  <c r="AB99" i="5"/>
  <c r="AA99" i="5"/>
  <c r="C99" i="12"/>
  <c r="AO99" i="12"/>
  <c r="O99" i="12"/>
  <c r="M99" i="12"/>
  <c r="I100" i="12"/>
  <c r="L100" i="5"/>
  <c r="AM100" i="5"/>
  <c r="Z100" i="5"/>
  <c r="G101" i="12"/>
  <c r="X101" i="5"/>
  <c r="C99" i="6"/>
  <c r="O99" i="5"/>
  <c r="E98" i="6"/>
  <c r="D98" i="12"/>
  <c r="X97" i="12"/>
  <c r="W97" i="12"/>
  <c r="N98" i="12"/>
  <c r="A102" i="6" l="1"/>
  <c r="M102" i="6" s="1"/>
  <c r="AS102" i="6" s="1"/>
  <c r="N103" i="5"/>
  <c r="D103" i="6" s="1"/>
  <c r="H103" i="6" s="1"/>
  <c r="T103" i="5" s="1"/>
  <c r="K103" i="5"/>
  <c r="W103" i="5"/>
  <c r="H103" i="12" s="1"/>
  <c r="B103" i="5"/>
  <c r="J103" i="5"/>
  <c r="D103" i="5"/>
  <c r="B103" i="12" s="1"/>
  <c r="AD103" i="5"/>
  <c r="AE103" i="5"/>
  <c r="A103" i="12"/>
  <c r="F103" i="5"/>
  <c r="C104" i="5"/>
  <c r="B103" i="6"/>
  <c r="G103" i="5"/>
  <c r="H103" i="5"/>
  <c r="E103" i="5"/>
  <c r="K101" i="12"/>
  <c r="L102" i="12"/>
  <c r="J102" i="12"/>
  <c r="AQ101" i="6"/>
  <c r="BB101" i="6"/>
  <c r="AC101" i="6"/>
  <c r="AK101" i="6"/>
  <c r="AN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N99" i="12"/>
  <c r="U97" i="12"/>
  <c r="T97" i="12"/>
  <c r="V97" i="12"/>
  <c r="I101" i="12"/>
  <c r="L101" i="5"/>
  <c r="AM101" i="5"/>
  <c r="Z101" i="5"/>
  <c r="T98" i="12"/>
  <c r="V98" i="12"/>
  <c r="U98" i="12"/>
  <c r="G102" i="12"/>
  <c r="X102" i="5"/>
  <c r="C100" i="6"/>
  <c r="O100" i="5"/>
  <c r="E99" i="6"/>
  <c r="D99" i="12"/>
  <c r="AB100" i="5"/>
  <c r="AA100" i="5"/>
  <c r="C100" i="12"/>
  <c r="M100" i="12"/>
  <c r="AO100" i="12"/>
  <c r="O100" i="12"/>
  <c r="Y99" i="12"/>
  <c r="AU102" i="6" l="1"/>
  <c r="BC102" i="6"/>
  <c r="A103" i="6"/>
  <c r="M103" i="6" s="1"/>
  <c r="BC103" i="6" s="1"/>
  <c r="AV102" i="6"/>
  <c r="AY102" i="6"/>
  <c r="AJ102" i="6"/>
  <c r="BD102" i="6"/>
  <c r="BF102" i="6"/>
  <c r="AD102" i="6"/>
  <c r="AP102" i="6"/>
  <c r="BE102" i="6"/>
  <c r="AI102" i="6"/>
  <c r="AZ102" i="6"/>
  <c r="AX102" i="6"/>
  <c r="AK102" i="6"/>
  <c r="AF102" i="6"/>
  <c r="AC102" i="6"/>
  <c r="AM102" i="6"/>
  <c r="AB102" i="6"/>
  <c r="BB102" i="6"/>
  <c r="AH102" i="6"/>
  <c r="AT102" i="6"/>
  <c r="BA102" i="6"/>
  <c r="BG102" i="6"/>
  <c r="AR102" i="6"/>
  <c r="AQ102" i="6"/>
  <c r="AE102" i="6"/>
  <c r="AN102" i="6"/>
  <c r="AO102" i="6"/>
  <c r="AG102" i="6"/>
  <c r="K102" i="12"/>
  <c r="W104" i="5"/>
  <c r="H104" i="12" s="1"/>
  <c r="AD104" i="5"/>
  <c r="E104" i="5"/>
  <c r="J104" i="5"/>
  <c r="N104" i="5"/>
  <c r="D104" i="6" s="1"/>
  <c r="H104" i="5"/>
  <c r="AE104" i="5"/>
  <c r="A104" i="12"/>
  <c r="D104" i="5"/>
  <c r="B104" i="12" s="1"/>
  <c r="G104" i="5"/>
  <c r="C105" i="5"/>
  <c r="K104" i="5"/>
  <c r="F104" i="5"/>
  <c r="B104" i="6"/>
  <c r="B104" i="5"/>
  <c r="J103" i="12"/>
  <c r="L103" i="12"/>
  <c r="N100" i="12"/>
  <c r="Y100" i="12"/>
  <c r="X100" i="12" s="1"/>
  <c r="X99" i="12"/>
  <c r="W99" i="12"/>
  <c r="E100" i="6"/>
  <c r="D100" i="12"/>
  <c r="L102" i="5"/>
  <c r="AM102" i="5"/>
  <c r="I102" i="12"/>
  <c r="Z102" i="5"/>
  <c r="C101" i="6"/>
  <c r="O101" i="5"/>
  <c r="G103" i="12"/>
  <c r="X103" i="5"/>
  <c r="AB101" i="5"/>
  <c r="AA101" i="5"/>
  <c r="C101" i="12"/>
  <c r="O101" i="12"/>
  <c r="AO101" i="12"/>
  <c r="M101" i="12"/>
  <c r="AK103" i="6" l="1"/>
  <c r="AI103" i="6"/>
  <c r="AX103" i="6"/>
  <c r="AO103" i="6"/>
  <c r="AH103" i="6"/>
  <c r="AF103" i="6"/>
  <c r="AN103" i="6"/>
  <c r="AD103" i="6"/>
  <c r="AM103" i="6"/>
  <c r="AQ103" i="6"/>
  <c r="BB103" i="6"/>
  <c r="AU103" i="6"/>
  <c r="AS103" i="6"/>
  <c r="BA103" i="6"/>
  <c r="AC103" i="6"/>
  <c r="AJ103" i="6"/>
  <c r="AZ103" i="6"/>
  <c r="AB103" i="6"/>
  <c r="AE103" i="6"/>
  <c r="AP103" i="6"/>
  <c r="BE103" i="6"/>
  <c r="BG103" i="6"/>
  <c r="AY103" i="6"/>
  <c r="AG103" i="6"/>
  <c r="AT103" i="6"/>
  <c r="BF103" i="6"/>
  <c r="BD103" i="6"/>
  <c r="AR103" i="6"/>
  <c r="AV103" i="6"/>
  <c r="A104" i="6"/>
  <c r="M104" i="6" s="1"/>
  <c r="AZ104" i="6" s="1"/>
  <c r="H104" i="6"/>
  <c r="T104" i="5" s="1"/>
  <c r="G104" i="12" s="1"/>
  <c r="L104" i="12"/>
  <c r="J104" i="12"/>
  <c r="K105" i="5"/>
  <c r="A105" i="12"/>
  <c r="E105" i="5"/>
  <c r="AD105" i="5"/>
  <c r="J105" i="5"/>
  <c r="D105" i="5"/>
  <c r="B105" i="12" s="1"/>
  <c r="W105" i="5"/>
  <c r="H105" i="12" s="1"/>
  <c r="H105" i="5"/>
  <c r="N105" i="5"/>
  <c r="D105" i="6" s="1"/>
  <c r="C106" i="5"/>
  <c r="AE105" i="5"/>
  <c r="B105" i="6"/>
  <c r="B105" i="5"/>
  <c r="F105" i="5"/>
  <c r="G105" i="5"/>
  <c r="K103" i="12"/>
  <c r="W100" i="12"/>
  <c r="U100" i="12" s="1"/>
  <c r="N101" i="12"/>
  <c r="I103" i="12"/>
  <c r="L103" i="5"/>
  <c r="AM103" i="5"/>
  <c r="Z103" i="5"/>
  <c r="E101" i="6"/>
  <c r="D101" i="12"/>
  <c r="AB102" i="5"/>
  <c r="AA102" i="5"/>
  <c r="V99" i="12"/>
  <c r="U99" i="12"/>
  <c r="T99" i="12"/>
  <c r="Y101" i="12"/>
  <c r="C102" i="12"/>
  <c r="O102" i="12"/>
  <c r="AO102" i="12"/>
  <c r="M102" i="12"/>
  <c r="C102" i="6"/>
  <c r="O102" i="5"/>
  <c r="X104" i="5" l="1"/>
  <c r="I104" i="12" s="1"/>
  <c r="AC104" i="6"/>
  <c r="AG104" i="6"/>
  <c r="AO104" i="6"/>
  <c r="AI104" i="6"/>
  <c r="BB104" i="6"/>
  <c r="AV104" i="6"/>
  <c r="AB104" i="6"/>
  <c r="AE104" i="6"/>
  <c r="AK104" i="6"/>
  <c r="AN104" i="6"/>
  <c r="AS104" i="6"/>
  <c r="BG104" i="6"/>
  <c r="AF104" i="6"/>
  <c r="BE104" i="6"/>
  <c r="AH104" i="6"/>
  <c r="AP104" i="6"/>
  <c r="AX104" i="6"/>
  <c r="AQ104" i="6"/>
  <c r="AU104" i="6"/>
  <c r="BA104" i="6"/>
  <c r="AT104" i="6"/>
  <c r="AD104" i="6"/>
  <c r="BD104" i="6"/>
  <c r="BF104" i="6"/>
  <c r="AJ104" i="6"/>
  <c r="BC104" i="6"/>
  <c r="AR104" i="6"/>
  <c r="AY104" i="6"/>
  <c r="AM104" i="6"/>
  <c r="A105" i="6"/>
  <c r="M105" i="6" s="1"/>
  <c r="K104" i="12"/>
  <c r="W106" i="5"/>
  <c r="H106" i="12" s="1"/>
  <c r="B106" i="6"/>
  <c r="H106" i="5"/>
  <c r="F106" i="5"/>
  <c r="D106" i="5"/>
  <c r="B106" i="12" s="1"/>
  <c r="G106" i="5"/>
  <c r="N106" i="5"/>
  <c r="D106" i="6" s="1"/>
  <c r="H106" i="6" s="1"/>
  <c r="T106" i="5" s="1"/>
  <c r="E106" i="5"/>
  <c r="J106" i="5"/>
  <c r="AD106" i="5"/>
  <c r="B106" i="5"/>
  <c r="AE106" i="5"/>
  <c r="A106" i="12"/>
  <c r="K106" i="5"/>
  <c r="C107" i="5"/>
  <c r="L105" i="12"/>
  <c r="J105" i="12"/>
  <c r="H105" i="6"/>
  <c r="T105" i="5" s="1"/>
  <c r="X105" i="5" s="1"/>
  <c r="T100" i="12"/>
  <c r="V100" i="12"/>
  <c r="Y102" i="12"/>
  <c r="W102" i="12" s="1"/>
  <c r="W101" i="12"/>
  <c r="X101" i="12"/>
  <c r="C103" i="12"/>
  <c r="M103" i="12"/>
  <c r="AO103" i="12"/>
  <c r="O103" i="12"/>
  <c r="D102" i="12"/>
  <c r="E102" i="6"/>
  <c r="N102" i="12"/>
  <c r="AB103" i="5"/>
  <c r="AA103" i="5"/>
  <c r="C103" i="6"/>
  <c r="O103" i="5"/>
  <c r="Z104" i="5" l="1"/>
  <c r="AA104" i="5" s="1"/>
  <c r="AM104" i="5"/>
  <c r="L104" i="5"/>
  <c r="O104" i="5" s="1"/>
  <c r="G105" i="12"/>
  <c r="AF105" i="6"/>
  <c r="A106" i="6"/>
  <c r="M106" i="6" s="1"/>
  <c r="AU106" i="6" s="1"/>
  <c r="K105" i="12"/>
  <c r="G107" i="5"/>
  <c r="D107" i="5"/>
  <c r="B107" i="12" s="1"/>
  <c r="N107" i="5"/>
  <c r="D107" i="6" s="1"/>
  <c r="H107" i="6" s="1"/>
  <c r="T107" i="5" s="1"/>
  <c r="W107" i="5"/>
  <c r="H107" i="12" s="1"/>
  <c r="H107" i="5"/>
  <c r="C108" i="5"/>
  <c r="F107" i="5"/>
  <c r="J107" i="5"/>
  <c r="B107" i="5"/>
  <c r="B107" i="6"/>
  <c r="AE107" i="5"/>
  <c r="K107" i="5"/>
  <c r="A107" i="12"/>
  <c r="E107" i="5"/>
  <c r="AD107" i="5"/>
  <c r="J106" i="12"/>
  <c r="L106" i="12"/>
  <c r="N103" i="12"/>
  <c r="X102" i="12"/>
  <c r="AE105" i="6"/>
  <c r="Y103" i="12"/>
  <c r="W103" i="12" s="1"/>
  <c r="U101" i="12"/>
  <c r="V101" i="12"/>
  <c r="T101" i="12"/>
  <c r="C104" i="12"/>
  <c r="O104" i="12"/>
  <c r="M104" i="12"/>
  <c r="AO104" i="12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AM105" i="5"/>
  <c r="I105" i="12"/>
  <c r="L105" i="5"/>
  <c r="Z105" i="5"/>
  <c r="G106" i="12"/>
  <c r="X106" i="5"/>
  <c r="U102" i="12"/>
  <c r="T102" i="12"/>
  <c r="V102" i="12"/>
  <c r="AB104" i="5" l="1"/>
  <c r="C104" i="6"/>
  <c r="AT106" i="6"/>
  <c r="BD106" i="6"/>
  <c r="AH106" i="6"/>
  <c r="AR106" i="6"/>
  <c r="AQ106" i="6"/>
  <c r="AY106" i="6"/>
  <c r="AJ106" i="6"/>
  <c r="BF106" i="6"/>
  <c r="AD106" i="6"/>
  <c r="AP106" i="6"/>
  <c r="AN106" i="6"/>
  <c r="AF106" i="6"/>
  <c r="BA106" i="6"/>
  <c r="AV106" i="6"/>
  <c r="AE106" i="6"/>
  <c r="AX106" i="6"/>
  <c r="BC106" i="6"/>
  <c r="AS106" i="6"/>
  <c r="AM106" i="6"/>
  <c r="BE106" i="6"/>
  <c r="AB106" i="6"/>
  <c r="AZ106" i="6"/>
  <c r="AK106" i="6"/>
  <c r="AC106" i="6"/>
  <c r="AO106" i="6"/>
  <c r="BG106" i="6"/>
  <c r="BB106" i="6"/>
  <c r="AG106" i="6"/>
  <c r="A107" i="6"/>
  <c r="M107" i="6" s="1"/>
  <c r="AT107" i="6" s="1"/>
  <c r="AI106" i="6"/>
  <c r="D108" i="5"/>
  <c r="B108" i="12" s="1"/>
  <c r="K108" i="5"/>
  <c r="W108" i="5"/>
  <c r="H108" i="12" s="1"/>
  <c r="A108" i="12"/>
  <c r="G108" i="5"/>
  <c r="AD108" i="5"/>
  <c r="B108" i="5"/>
  <c r="B108" i="6"/>
  <c r="F108" i="5"/>
  <c r="E108" i="5"/>
  <c r="AE108" i="5"/>
  <c r="H108" i="5"/>
  <c r="J108" i="5"/>
  <c r="N108" i="5"/>
  <c r="D108" i="6" s="1"/>
  <c r="H108" i="6" s="1"/>
  <c r="T108" i="5" s="1"/>
  <c r="C109" i="5"/>
  <c r="K106" i="12"/>
  <c r="L107" i="12"/>
  <c r="J107" i="12"/>
  <c r="X103" i="12"/>
  <c r="Y104" i="12"/>
  <c r="X104" i="12" s="1"/>
  <c r="N104" i="12"/>
  <c r="C105" i="12"/>
  <c r="O105" i="12"/>
  <c r="M105" i="12"/>
  <c r="AO105" i="12"/>
  <c r="D104" i="12"/>
  <c r="E104" i="6"/>
  <c r="AM106" i="5"/>
  <c r="L106" i="5"/>
  <c r="I106" i="12"/>
  <c r="Z106" i="5"/>
  <c r="G107" i="12"/>
  <c r="X107" i="5"/>
  <c r="AA105" i="5"/>
  <c r="AB105" i="5"/>
  <c r="C105" i="6"/>
  <c r="O105" i="5"/>
  <c r="V103" i="12"/>
  <c r="U103" i="12"/>
  <c r="T103" i="12"/>
  <c r="A108" i="6" l="1"/>
  <c r="M108" i="6" s="1"/>
  <c r="BF108" i="6" s="1"/>
  <c r="W104" i="12"/>
  <c r="T104" i="12" s="1"/>
  <c r="K107" i="12"/>
  <c r="L108" i="12"/>
  <c r="J108" i="12"/>
  <c r="B109" i="5"/>
  <c r="G109" i="5"/>
  <c r="C110" i="5"/>
  <c r="D109" i="5"/>
  <c r="B109" i="12" s="1"/>
  <c r="F109" i="5"/>
  <c r="AD109" i="5"/>
  <c r="AE109" i="5"/>
  <c r="H109" i="5"/>
  <c r="A109" i="12"/>
  <c r="N109" i="5"/>
  <c r="D109" i="6" s="1"/>
  <c r="H109" i="6" s="1"/>
  <c r="T109" i="5" s="1"/>
  <c r="K109" i="5"/>
  <c r="B109" i="6"/>
  <c r="J109" i="5"/>
  <c r="W109" i="5"/>
  <c r="H109" i="12" s="1"/>
  <c r="E109" i="5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N105" i="12"/>
  <c r="E105" i="6"/>
  <c r="D105" i="12"/>
  <c r="AM107" i="5"/>
  <c r="L107" i="5"/>
  <c r="I107" i="12"/>
  <c r="Z107" i="5"/>
  <c r="AA106" i="5"/>
  <c r="AB106" i="5"/>
  <c r="C106" i="12"/>
  <c r="M106" i="12"/>
  <c r="O106" i="12"/>
  <c r="AO106" i="12"/>
  <c r="C106" i="6"/>
  <c r="O106" i="5"/>
  <c r="G108" i="12"/>
  <c r="X108" i="5"/>
  <c r="U104" i="12" l="1"/>
  <c r="V104" i="12"/>
  <c r="A109" i="6"/>
  <c r="M109" i="6" s="1"/>
  <c r="AV109" i="6" s="1"/>
  <c r="K108" i="12"/>
  <c r="L109" i="12"/>
  <c r="J109" i="12"/>
  <c r="AE110" i="5"/>
  <c r="AD110" i="5"/>
  <c r="F110" i="5"/>
  <c r="B110" i="6"/>
  <c r="B110" i="5"/>
  <c r="A110" i="12"/>
  <c r="G110" i="5"/>
  <c r="K110" i="5"/>
  <c r="E110" i="5"/>
  <c r="D110" i="5"/>
  <c r="B110" i="12" s="1"/>
  <c r="N110" i="5"/>
  <c r="D110" i="6" s="1"/>
  <c r="H110" i="6" s="1"/>
  <c r="T110" i="5" s="1"/>
  <c r="W110" i="5"/>
  <c r="H110" i="12" s="1"/>
  <c r="H110" i="5"/>
  <c r="J110" i="5"/>
  <c r="C111" i="5"/>
  <c r="X105" i="12"/>
  <c r="AH108" i="6"/>
  <c r="AI108" i="6"/>
  <c r="AO108" i="6"/>
  <c r="AV108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I108" i="12"/>
  <c r="L108" i="5"/>
  <c r="AM108" i="5"/>
  <c r="Z108" i="5"/>
  <c r="Y106" i="12"/>
  <c r="C107" i="6"/>
  <c r="O107" i="5"/>
  <c r="AB109" i="6" l="1"/>
  <c r="AK109" i="6"/>
  <c r="AN109" i="6"/>
  <c r="AJ109" i="6"/>
  <c r="BG109" i="6"/>
  <c r="BD109" i="6"/>
  <c r="AF109" i="6"/>
  <c r="AC109" i="6"/>
  <c r="AE109" i="6"/>
  <c r="AH109" i="6"/>
  <c r="BE109" i="6"/>
  <c r="AP109" i="6"/>
  <c r="AT109" i="6"/>
  <c r="BB109" i="6"/>
  <c r="AI109" i="6"/>
  <c r="AS109" i="6"/>
  <c r="AU109" i="6"/>
  <c r="BC109" i="6"/>
  <c r="AX109" i="6"/>
  <c r="AM109" i="6"/>
  <c r="AR109" i="6"/>
  <c r="AQ109" i="6"/>
  <c r="AY109" i="6"/>
  <c r="AZ109" i="6"/>
  <c r="AD109" i="6"/>
  <c r="BF109" i="6"/>
  <c r="BA109" i="6"/>
  <c r="AG109" i="6"/>
  <c r="AO109" i="6"/>
  <c r="A110" i="6"/>
  <c r="M110" i="6" s="1"/>
  <c r="AY110" i="6" s="1"/>
  <c r="K109" i="12"/>
  <c r="J110" i="12"/>
  <c r="L110" i="12"/>
  <c r="E111" i="5"/>
  <c r="H111" i="5"/>
  <c r="D111" i="5"/>
  <c r="B111" i="12" s="1"/>
  <c r="N111" i="5"/>
  <c r="D111" i="6" s="1"/>
  <c r="H111" i="6" s="1"/>
  <c r="T111" i="5" s="1"/>
  <c r="AE111" i="5"/>
  <c r="A111" i="12"/>
  <c r="W111" i="5"/>
  <c r="H111" i="12" s="1"/>
  <c r="C112" i="5"/>
  <c r="G111" i="5"/>
  <c r="B111" i="5"/>
  <c r="AD111" i="5"/>
  <c r="F111" i="5"/>
  <c r="K111" i="5"/>
  <c r="B111" i="6"/>
  <c r="J111" i="5"/>
  <c r="D107" i="12"/>
  <c r="E107" i="6"/>
  <c r="X106" i="12"/>
  <c r="W106" i="12"/>
  <c r="C108" i="12"/>
  <c r="AO108" i="12"/>
  <c r="M108" i="12"/>
  <c r="O108" i="12"/>
  <c r="G110" i="12"/>
  <c r="X110" i="5"/>
  <c r="AA108" i="5"/>
  <c r="AB108" i="5"/>
  <c r="C108" i="6"/>
  <c r="O108" i="5"/>
  <c r="I109" i="12"/>
  <c r="AM109" i="5"/>
  <c r="L109" i="5"/>
  <c r="Z109" i="5"/>
  <c r="N107" i="12"/>
  <c r="Y107" i="12"/>
  <c r="BB110" i="6" l="1"/>
  <c r="AK110" i="6"/>
  <c r="BC110" i="6"/>
  <c r="AC110" i="6"/>
  <c r="AF110" i="6"/>
  <c r="BA110" i="6"/>
  <c r="AQ110" i="6"/>
  <c r="AJ110" i="6"/>
  <c r="AV110" i="6"/>
  <c r="AT110" i="6"/>
  <c r="AH110" i="6"/>
  <c r="AI110" i="6"/>
  <c r="AM110" i="6"/>
  <c r="AR110" i="6"/>
  <c r="BF110" i="6"/>
  <c r="AB110" i="6"/>
  <c r="AP110" i="6"/>
  <c r="AX110" i="6"/>
  <c r="AG110" i="6"/>
  <c r="AE110" i="6"/>
  <c r="AS110" i="6"/>
  <c r="BD110" i="6"/>
  <c r="BG110" i="6"/>
  <c r="AD110" i="6"/>
  <c r="AO110" i="6"/>
  <c r="AN110" i="6"/>
  <c r="AU110" i="6"/>
  <c r="AZ110" i="6"/>
  <c r="BE110" i="6"/>
  <c r="A111" i="6"/>
  <c r="M111" i="6" s="1"/>
  <c r="AG111" i="6" s="1"/>
  <c r="J111" i="12"/>
  <c r="L111" i="12"/>
  <c r="J112" i="5"/>
  <c r="F112" i="5"/>
  <c r="AD112" i="5"/>
  <c r="B112" i="6"/>
  <c r="W112" i="5"/>
  <c r="H112" i="12" s="1"/>
  <c r="C113" i="5"/>
  <c r="B112" i="5"/>
  <c r="H112" i="5"/>
  <c r="D112" i="5"/>
  <c r="B112" i="12" s="1"/>
  <c r="G112" i="5"/>
  <c r="E112" i="5"/>
  <c r="AE112" i="5"/>
  <c r="A112" i="12"/>
  <c r="K112" i="5"/>
  <c r="N112" i="5"/>
  <c r="D112" i="6" s="1"/>
  <c r="H112" i="6" s="1"/>
  <c r="T112" i="5" s="1"/>
  <c r="K110" i="12"/>
  <c r="N108" i="12"/>
  <c r="W107" i="12"/>
  <c r="X107" i="12"/>
  <c r="E108" i="6"/>
  <c r="D108" i="12"/>
  <c r="AM110" i="5"/>
  <c r="I110" i="12"/>
  <c r="L110" i="5"/>
  <c r="Z110" i="5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2" i="6" l="1"/>
  <c r="M112" i="6" s="1"/>
  <c r="K111" i="12"/>
  <c r="L112" i="12"/>
  <c r="J112" i="12"/>
  <c r="H113" i="5"/>
  <c r="W113" i="5"/>
  <c r="H113" i="12" s="1"/>
  <c r="B113" i="6"/>
  <c r="J113" i="5"/>
  <c r="K113" i="5"/>
  <c r="AE113" i="5"/>
  <c r="AD113" i="5"/>
  <c r="A113" i="12"/>
  <c r="F113" i="5"/>
  <c r="D113" i="5"/>
  <c r="B113" i="12" s="1"/>
  <c r="N113" i="5"/>
  <c r="D113" i="6" s="1"/>
  <c r="B113" i="5"/>
  <c r="G113" i="5"/>
  <c r="E113" i="5"/>
  <c r="C114" i="5"/>
  <c r="AE111" i="6"/>
  <c r="AH111" i="6"/>
  <c r="AB111" i="6"/>
  <c r="AK111" i="6"/>
  <c r="Y109" i="12"/>
  <c r="X109" i="12" s="1"/>
  <c r="E109" i="6"/>
  <c r="D109" i="12"/>
  <c r="L111" i="5"/>
  <c r="AM111" i="5"/>
  <c r="I111" i="12"/>
  <c r="Z111" i="5"/>
  <c r="C110" i="6"/>
  <c r="O110" i="5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T107" i="12"/>
  <c r="V107" i="12"/>
  <c r="U107" i="12"/>
  <c r="A113" i="6" l="1"/>
  <c r="M113" i="6" s="1"/>
  <c r="AO113" i="6" s="1"/>
  <c r="H113" i="6"/>
  <c r="T113" i="5" s="1"/>
  <c r="X113" i="5" s="1"/>
  <c r="L113" i="12"/>
  <c r="J113" i="12"/>
  <c r="A114" i="12"/>
  <c r="F114" i="5"/>
  <c r="AD114" i="5"/>
  <c r="N114" i="5"/>
  <c r="D114" i="6" s="1"/>
  <c r="H114" i="6" s="1"/>
  <c r="T114" i="5" s="1"/>
  <c r="C115" i="5"/>
  <c r="K114" i="5"/>
  <c r="AE114" i="5"/>
  <c r="G114" i="5"/>
  <c r="E114" i="5"/>
  <c r="B114" i="6"/>
  <c r="J114" i="5"/>
  <c r="W114" i="5"/>
  <c r="H114" i="12" s="1"/>
  <c r="D114" i="5"/>
  <c r="B114" i="12" s="1"/>
  <c r="B114" i="5"/>
  <c r="H114" i="5"/>
  <c r="K112" i="12"/>
  <c r="W109" i="12"/>
  <c r="T109" i="12" s="1"/>
  <c r="Y110" i="12"/>
  <c r="W110" i="12" s="1"/>
  <c r="I112" i="12"/>
  <c r="AM112" i="5"/>
  <c r="L112" i="5"/>
  <c r="Z112" i="5"/>
  <c r="T108" i="12"/>
  <c r="V108" i="12"/>
  <c r="U108" i="12"/>
  <c r="AA111" i="5"/>
  <c r="AB111" i="5"/>
  <c r="C111" i="12"/>
  <c r="O111" i="12"/>
  <c r="AO111" i="12"/>
  <c r="M111" i="12"/>
  <c r="C111" i="6"/>
  <c r="O111" i="5"/>
  <c r="N110" i="12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G113" i="12" l="1"/>
  <c r="A114" i="6"/>
  <c r="M114" i="6" s="1"/>
  <c r="AH114" i="6" s="1"/>
  <c r="K113" i="12"/>
  <c r="AD115" i="5"/>
  <c r="J115" i="5"/>
  <c r="G115" i="5"/>
  <c r="H115" i="5"/>
  <c r="E115" i="5"/>
  <c r="B115" i="5"/>
  <c r="K115" i="5"/>
  <c r="AE115" i="5"/>
  <c r="D115" i="5"/>
  <c r="B115" i="12" s="1"/>
  <c r="C116" i="5"/>
  <c r="F115" i="5"/>
  <c r="N115" i="5"/>
  <c r="D115" i="6" s="1"/>
  <c r="H115" i="6" s="1"/>
  <c r="T115" i="5" s="1"/>
  <c r="W115" i="5"/>
  <c r="H115" i="12" s="1"/>
  <c r="A115" i="12"/>
  <c r="B115" i="6"/>
  <c r="J114" i="12"/>
  <c r="L114" i="12"/>
  <c r="AH113" i="6"/>
  <c r="BG113" i="6"/>
  <c r="AC113" i="6"/>
  <c r="AS113" i="6"/>
  <c r="AB113" i="6"/>
  <c r="AI113" i="6"/>
  <c r="BC113" i="6"/>
  <c r="AD113" i="6"/>
  <c r="AP113" i="6"/>
  <c r="AZ113" i="6"/>
  <c r="AG113" i="6"/>
  <c r="AJ113" i="6"/>
  <c r="AE113" i="6"/>
  <c r="AT113" i="6"/>
  <c r="AY113" i="6"/>
  <c r="BD113" i="6"/>
  <c r="AK113" i="6"/>
  <c r="BB113" i="6"/>
  <c r="AQ113" i="6"/>
  <c r="AU113" i="6"/>
  <c r="AV113" i="6"/>
  <c r="AM113" i="6"/>
  <c r="AF113" i="6"/>
  <c r="AR113" i="6"/>
  <c r="BA113" i="6"/>
  <c r="BE113" i="6"/>
  <c r="AX113" i="6"/>
  <c r="BF113" i="6"/>
  <c r="AN113" i="6"/>
  <c r="X110" i="12"/>
  <c r="V109" i="12"/>
  <c r="U109" i="12"/>
  <c r="Y111" i="12"/>
  <c r="W111" i="12" s="1"/>
  <c r="AB112" i="5"/>
  <c r="AA112" i="5"/>
  <c r="AM113" i="5"/>
  <c r="L113" i="5"/>
  <c r="I113" i="12"/>
  <c r="Z113" i="5"/>
  <c r="G114" i="12"/>
  <c r="X114" i="5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115" i="6" l="1"/>
  <c r="M115" i="6" s="1"/>
  <c r="AC115" i="6" s="1"/>
  <c r="J115" i="12"/>
  <c r="L115" i="12"/>
  <c r="W116" i="5"/>
  <c r="H116" i="12" s="1"/>
  <c r="E116" i="5"/>
  <c r="F116" i="5"/>
  <c r="AE116" i="5"/>
  <c r="AD116" i="5"/>
  <c r="K116" i="5"/>
  <c r="J116" i="5"/>
  <c r="G116" i="5"/>
  <c r="A116" i="12"/>
  <c r="D116" i="5"/>
  <c r="B116" i="12" s="1"/>
  <c r="B116" i="5"/>
  <c r="H116" i="5"/>
  <c r="B116" i="6"/>
  <c r="C117" i="5"/>
  <c r="N116" i="5"/>
  <c r="D116" i="6" s="1"/>
  <c r="H116" i="6" s="1"/>
  <c r="T116" i="5" s="1"/>
  <c r="K114" i="12"/>
  <c r="X111" i="12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E114" i="6"/>
  <c r="AB114" i="6"/>
  <c r="AC114" i="6"/>
  <c r="D112" i="12"/>
  <c r="E112" i="6"/>
  <c r="C113" i="12"/>
  <c r="AO113" i="12"/>
  <c r="O113" i="12"/>
  <c r="M113" i="12"/>
  <c r="G115" i="12"/>
  <c r="X115" i="5"/>
  <c r="N112" i="12"/>
  <c r="L114" i="5"/>
  <c r="AM114" i="5"/>
  <c r="I114" i="12"/>
  <c r="Z114" i="5"/>
  <c r="AB113" i="5"/>
  <c r="AA113" i="5"/>
  <c r="C113" i="6"/>
  <c r="O113" i="5"/>
  <c r="V111" i="12"/>
  <c r="T111" i="12"/>
  <c r="U111" i="12"/>
  <c r="K115" i="12" l="1"/>
  <c r="A116" i="6"/>
  <c r="M116" i="6" s="1"/>
  <c r="AM116" i="6" s="1"/>
  <c r="B117" i="6"/>
  <c r="D117" i="5"/>
  <c r="B117" i="12" s="1"/>
  <c r="W117" i="5"/>
  <c r="H117" i="12" s="1"/>
  <c r="J117" i="5"/>
  <c r="AD117" i="5"/>
  <c r="F117" i="5"/>
  <c r="G117" i="5"/>
  <c r="B117" i="5"/>
  <c r="C118" i="5"/>
  <c r="H117" i="5"/>
  <c r="AE117" i="5"/>
  <c r="A117" i="12"/>
  <c r="N117" i="5"/>
  <c r="D117" i="6" s="1"/>
  <c r="H117" i="6" s="1"/>
  <c r="T117" i="5" s="1"/>
  <c r="E117" i="5"/>
  <c r="K117" i="5"/>
  <c r="L116" i="12"/>
  <c r="J116" i="12"/>
  <c r="AH115" i="6"/>
  <c r="AI115" i="6"/>
  <c r="X112" i="12"/>
  <c r="AB115" i="6"/>
  <c r="AG115" i="6"/>
  <c r="Y113" i="12"/>
  <c r="W113" i="12" s="1"/>
  <c r="G116" i="12"/>
  <c r="X116" i="5"/>
  <c r="D113" i="12"/>
  <c r="E113" i="6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7" i="6" l="1"/>
  <c r="M117" i="6" s="1"/>
  <c r="AN117" i="6" s="1"/>
  <c r="K116" i="12"/>
  <c r="J117" i="12"/>
  <c r="L117" i="12"/>
  <c r="F118" i="5"/>
  <c r="AD118" i="5"/>
  <c r="E118" i="5"/>
  <c r="N118" i="5"/>
  <c r="D118" i="6" s="1"/>
  <c r="H118" i="6" s="1"/>
  <c r="T118" i="5" s="1"/>
  <c r="C119" i="5"/>
  <c r="W118" i="5"/>
  <c r="H118" i="12" s="1"/>
  <c r="B118" i="5"/>
  <c r="B118" i="6"/>
  <c r="D118" i="5"/>
  <c r="B118" i="12" s="1"/>
  <c r="J118" i="5"/>
  <c r="AE118" i="5"/>
  <c r="K118" i="5"/>
  <c r="G118" i="5"/>
  <c r="A118" i="12"/>
  <c r="H118" i="5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C115" i="12"/>
  <c r="O115" i="12"/>
  <c r="AO115" i="12"/>
  <c r="M115" i="12"/>
  <c r="T113" i="12"/>
  <c r="V113" i="12"/>
  <c r="U113" i="12"/>
  <c r="G117" i="12"/>
  <c r="X117" i="5"/>
  <c r="I116" i="12"/>
  <c r="AM116" i="5"/>
  <c r="L116" i="5"/>
  <c r="Z116" i="5"/>
  <c r="AA115" i="5"/>
  <c r="AB115" i="5"/>
  <c r="C115" i="6"/>
  <c r="O115" i="5"/>
  <c r="D114" i="12"/>
  <c r="E114" i="6"/>
  <c r="N114" i="12"/>
  <c r="Y114" i="12"/>
  <c r="A118" i="6" l="1"/>
  <c r="M118" i="6" s="1"/>
  <c r="BA118" i="6" s="1"/>
  <c r="K117" i="12"/>
  <c r="J118" i="12"/>
  <c r="L118" i="12"/>
  <c r="C120" i="5"/>
  <c r="AD119" i="5"/>
  <c r="N119" i="5"/>
  <c r="D119" i="6" s="1"/>
  <c r="H119" i="6" s="1"/>
  <c r="T119" i="5" s="1"/>
  <c r="D119" i="5"/>
  <c r="B119" i="12" s="1"/>
  <c r="J119" i="5"/>
  <c r="A119" i="12"/>
  <c r="B119" i="5"/>
  <c r="G119" i="5"/>
  <c r="W119" i="5"/>
  <c r="H119" i="12" s="1"/>
  <c r="K119" i="5"/>
  <c r="E119" i="5"/>
  <c r="H119" i="5"/>
  <c r="F119" i="5"/>
  <c r="B119" i="6"/>
  <c r="AE119" i="5"/>
  <c r="AJ117" i="6"/>
  <c r="AB117" i="6"/>
  <c r="AO117" i="6"/>
  <c r="BD117" i="6"/>
  <c r="AZ117" i="6"/>
  <c r="BG117" i="6"/>
  <c r="AC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G118" i="12"/>
  <c r="X118" i="5"/>
  <c r="X114" i="12"/>
  <c r="W114" i="12"/>
  <c r="E115" i="6"/>
  <c r="D115" i="12"/>
  <c r="AB116" i="5"/>
  <c r="AA116" i="5"/>
  <c r="I117" i="12"/>
  <c r="AM117" i="5"/>
  <c r="L117" i="5"/>
  <c r="Z117" i="5"/>
  <c r="N115" i="12"/>
  <c r="C116" i="6"/>
  <c r="O116" i="5"/>
  <c r="C116" i="12"/>
  <c r="O116" i="12"/>
  <c r="M116" i="12"/>
  <c r="AO116" i="12"/>
  <c r="Y115" i="12"/>
  <c r="AY118" i="6" l="1"/>
  <c r="AE118" i="6"/>
  <c r="AD118" i="6"/>
  <c r="AM118" i="6"/>
  <c r="AP118" i="6"/>
  <c r="AH118" i="6"/>
  <c r="AC118" i="6"/>
  <c r="AJ118" i="6"/>
  <c r="AB118" i="6"/>
  <c r="AF118" i="6"/>
  <c r="AT118" i="6"/>
  <c r="AZ118" i="6"/>
  <c r="AU118" i="6"/>
  <c r="AX118" i="6"/>
  <c r="BG118" i="6"/>
  <c r="AI118" i="6"/>
  <c r="BF118" i="6"/>
  <c r="BE118" i="6"/>
  <c r="BB118" i="6"/>
  <c r="AK118" i="6"/>
  <c r="AV118" i="6"/>
  <c r="AN118" i="6"/>
  <c r="AR118" i="6"/>
  <c r="BC118" i="6"/>
  <c r="AG118" i="6"/>
  <c r="AQ118" i="6"/>
  <c r="AO118" i="6"/>
  <c r="BD118" i="6"/>
  <c r="AS118" i="6"/>
  <c r="A119" i="6"/>
  <c r="M119" i="6" s="1"/>
  <c r="BB119" i="6" s="1"/>
  <c r="J119" i="12"/>
  <c r="L119" i="12"/>
  <c r="B120" i="6"/>
  <c r="N120" i="5"/>
  <c r="D120" i="6" s="1"/>
  <c r="AE120" i="5"/>
  <c r="A120" i="12"/>
  <c r="AD120" i="5"/>
  <c r="H120" i="5"/>
  <c r="F120" i="5"/>
  <c r="J120" i="5"/>
  <c r="G120" i="5"/>
  <c r="W120" i="5"/>
  <c r="H120" i="12" s="1"/>
  <c r="B120" i="5"/>
  <c r="C121" i="5"/>
  <c r="E120" i="5"/>
  <c r="D120" i="5"/>
  <c r="B120" i="12" s="1"/>
  <c r="K120" i="5"/>
  <c r="K118" i="12"/>
  <c r="Y116" i="12"/>
  <c r="X116" i="12" s="1"/>
  <c r="N116" i="12"/>
  <c r="E116" i="6"/>
  <c r="D116" i="12"/>
  <c r="AA117" i="5"/>
  <c r="AB117" i="5"/>
  <c r="T114" i="12"/>
  <c r="U114" i="12"/>
  <c r="V114" i="12"/>
  <c r="AM118" i="5"/>
  <c r="I118" i="12"/>
  <c r="L118" i="5"/>
  <c r="Z118" i="5"/>
  <c r="X115" i="12"/>
  <c r="W115" i="12"/>
  <c r="G119" i="12"/>
  <c r="X119" i="5"/>
  <c r="C117" i="6"/>
  <c r="O117" i="5"/>
  <c r="C117" i="12"/>
  <c r="AO117" i="12"/>
  <c r="M117" i="12"/>
  <c r="O117" i="12"/>
  <c r="AO119" i="6" l="1"/>
  <c r="A120" i="6"/>
  <c r="M120" i="6" s="1"/>
  <c r="BE120" i="6" s="1"/>
  <c r="K119" i="12"/>
  <c r="BG119" i="6"/>
  <c r="BF119" i="6"/>
  <c r="BD119" i="6"/>
  <c r="AF119" i="6"/>
  <c r="BE119" i="6"/>
  <c r="AC119" i="6"/>
  <c r="H120" i="6"/>
  <c r="T120" i="5" s="1"/>
  <c r="G120" i="12" s="1"/>
  <c r="AV119" i="6"/>
  <c r="AN119" i="6"/>
  <c r="AH119" i="6"/>
  <c r="AT119" i="6"/>
  <c r="AK119" i="6"/>
  <c r="AM119" i="6"/>
  <c r="BC119" i="6"/>
  <c r="AY119" i="6"/>
  <c r="AU119" i="6"/>
  <c r="AS119" i="6"/>
  <c r="AG119" i="6"/>
  <c r="AP119" i="6"/>
  <c r="AB119" i="6"/>
  <c r="AJ119" i="6"/>
  <c r="AX119" i="6"/>
  <c r="AI119" i="6"/>
  <c r="AQ119" i="6"/>
  <c r="BA119" i="6"/>
  <c r="AZ119" i="6"/>
  <c r="AR119" i="6"/>
  <c r="AD119" i="6"/>
  <c r="AE119" i="6"/>
  <c r="B121" i="6"/>
  <c r="E121" i="5"/>
  <c r="W121" i="5"/>
  <c r="H121" i="12" s="1"/>
  <c r="C122" i="5"/>
  <c r="F121" i="5"/>
  <c r="A121" i="12"/>
  <c r="H121" i="5"/>
  <c r="K121" i="5"/>
  <c r="D121" i="5"/>
  <c r="B121" i="12" s="1"/>
  <c r="J121" i="5"/>
  <c r="G121" i="5"/>
  <c r="N121" i="5"/>
  <c r="D121" i="6" s="1"/>
  <c r="H121" i="6" s="1"/>
  <c r="T121" i="5" s="1"/>
  <c r="B121" i="5"/>
  <c r="AE121" i="5"/>
  <c r="AD121" i="5"/>
  <c r="J120" i="12"/>
  <c r="L120" i="12"/>
  <c r="W116" i="12"/>
  <c r="V116" i="12" s="1"/>
  <c r="N117" i="12"/>
  <c r="Y117" i="12"/>
  <c r="E117" i="6"/>
  <c r="D117" i="12"/>
  <c r="AB118" i="5"/>
  <c r="AA118" i="5"/>
  <c r="C118" i="6"/>
  <c r="O118" i="5"/>
  <c r="L119" i="5"/>
  <c r="I119" i="12"/>
  <c r="AM119" i="5"/>
  <c r="Z119" i="5"/>
  <c r="U115" i="12"/>
  <c r="V115" i="12"/>
  <c r="T115" i="12"/>
  <c r="C118" i="12"/>
  <c r="O118" i="12"/>
  <c r="M118" i="12"/>
  <c r="AO118" i="12"/>
  <c r="U116" i="12" l="1"/>
  <c r="AG120" i="6"/>
  <c r="AP120" i="6"/>
  <c r="AH120" i="6"/>
  <c r="BC120" i="6"/>
  <c r="BF120" i="6"/>
  <c r="AU120" i="6"/>
  <c r="AF120" i="6"/>
  <c r="X120" i="5"/>
  <c r="L120" i="5" s="1"/>
  <c r="AK120" i="6"/>
  <c r="AJ120" i="6"/>
  <c r="AI120" i="6"/>
  <c r="AN120" i="6"/>
  <c r="AX120" i="6"/>
  <c r="BD120" i="6"/>
  <c r="AS120" i="6"/>
  <c r="AE120" i="6"/>
  <c r="AY120" i="6"/>
  <c r="BA120" i="6"/>
  <c r="AZ120" i="6"/>
  <c r="AB120" i="6"/>
  <c r="AT120" i="6"/>
  <c r="AV120" i="6"/>
  <c r="BB120" i="6"/>
  <c r="AO120" i="6"/>
  <c r="AQ120" i="6"/>
  <c r="BG120" i="6"/>
  <c r="AM120" i="6"/>
  <c r="AC120" i="6"/>
  <c r="AD120" i="6"/>
  <c r="AR120" i="6"/>
  <c r="A121" i="6"/>
  <c r="M121" i="6" s="1"/>
  <c r="AP121" i="6" s="1"/>
  <c r="W122" i="5"/>
  <c r="H122" i="12" s="1"/>
  <c r="N122" i="5"/>
  <c r="D122" i="6" s="1"/>
  <c r="H122" i="6" s="1"/>
  <c r="T122" i="5" s="1"/>
  <c r="E122" i="5"/>
  <c r="G122" i="5"/>
  <c r="H122" i="5"/>
  <c r="AD122" i="5"/>
  <c r="C123" i="5"/>
  <c r="F122" i="5"/>
  <c r="K122" i="5"/>
  <c r="J122" i="5"/>
  <c r="B122" i="6"/>
  <c r="B122" i="5"/>
  <c r="AE122" i="5"/>
  <c r="D122" i="5"/>
  <c r="B122" i="12" s="1"/>
  <c r="A122" i="12"/>
  <c r="J121" i="12"/>
  <c r="L121" i="12"/>
  <c r="K120" i="12"/>
  <c r="T116" i="12"/>
  <c r="Y118" i="12"/>
  <c r="W118" i="12" s="1"/>
  <c r="N118" i="12"/>
  <c r="AA119" i="5"/>
  <c r="AB119" i="5"/>
  <c r="C119" i="6"/>
  <c r="O119" i="5"/>
  <c r="G121" i="12"/>
  <c r="X121" i="5"/>
  <c r="C119" i="12"/>
  <c r="O119" i="12"/>
  <c r="M119" i="12"/>
  <c r="AO119" i="12"/>
  <c r="E118" i="6"/>
  <c r="D118" i="12"/>
  <c r="X117" i="12"/>
  <c r="W117" i="12"/>
  <c r="Z120" i="5" l="1"/>
  <c r="AB120" i="5" s="1"/>
  <c r="AZ121" i="6"/>
  <c r="AT121" i="6"/>
  <c r="AH121" i="6"/>
  <c r="AF121" i="6"/>
  <c r="AR121" i="6"/>
  <c r="BF121" i="6"/>
  <c r="AI121" i="6"/>
  <c r="BB121" i="6"/>
  <c r="AO121" i="6"/>
  <c r="A122" i="6"/>
  <c r="M122" i="6" s="1"/>
  <c r="AU122" i="6" s="1"/>
  <c r="AM120" i="5"/>
  <c r="I120" i="12"/>
  <c r="C120" i="12" s="1"/>
  <c r="BA121" i="6"/>
  <c r="AJ121" i="6"/>
  <c r="AG121" i="6"/>
  <c r="AD121" i="6"/>
  <c r="AE121" i="6"/>
  <c r="AS121" i="6"/>
  <c r="BG121" i="6"/>
  <c r="AV121" i="6"/>
  <c r="BD121" i="6"/>
  <c r="BC121" i="6"/>
  <c r="AB121" i="6"/>
  <c r="AK121" i="6"/>
  <c r="AX121" i="6"/>
  <c r="BE121" i="6"/>
  <c r="AQ121" i="6"/>
  <c r="AY121" i="6"/>
  <c r="AC121" i="6"/>
  <c r="AU121" i="6"/>
  <c r="AN121" i="6"/>
  <c r="AM121" i="6"/>
  <c r="K121" i="12"/>
  <c r="L122" i="12"/>
  <c r="J122" i="12"/>
  <c r="E123" i="5"/>
  <c r="F123" i="5"/>
  <c r="B123" i="6"/>
  <c r="J123" i="5"/>
  <c r="H123" i="5"/>
  <c r="D123" i="5"/>
  <c r="B123" i="12" s="1"/>
  <c r="B123" i="5"/>
  <c r="K123" i="5"/>
  <c r="G123" i="5"/>
  <c r="C124" i="5"/>
  <c r="W123" i="5"/>
  <c r="H123" i="12" s="1"/>
  <c r="AE123" i="5"/>
  <c r="A123" i="12"/>
  <c r="N123" i="5"/>
  <c r="D123" i="6" s="1"/>
  <c r="H123" i="6" s="1"/>
  <c r="T123" i="5" s="1"/>
  <c r="AD123" i="5"/>
  <c r="X118" i="12"/>
  <c r="Y119" i="12"/>
  <c r="W119" i="12" s="1"/>
  <c r="N119" i="12"/>
  <c r="L121" i="5"/>
  <c r="I121" i="12"/>
  <c r="AM121" i="5"/>
  <c r="Z121" i="5"/>
  <c r="D119" i="12"/>
  <c r="E119" i="6"/>
  <c r="T118" i="12"/>
  <c r="V118" i="12"/>
  <c r="U118" i="12"/>
  <c r="V117" i="12"/>
  <c r="U117" i="12"/>
  <c r="T117" i="12"/>
  <c r="C120" i="6"/>
  <c r="O120" i="5"/>
  <c r="G122" i="12"/>
  <c r="X122" i="5"/>
  <c r="AA120" i="5" l="1"/>
  <c r="M120" i="12"/>
  <c r="AO120" i="12"/>
  <c r="O120" i="12"/>
  <c r="A123" i="6"/>
  <c r="M123" i="6" s="1"/>
  <c r="BB123" i="6" s="1"/>
  <c r="K122" i="12"/>
  <c r="B124" i="6"/>
  <c r="D124" i="5"/>
  <c r="B124" i="12" s="1"/>
  <c r="A124" i="12"/>
  <c r="G124" i="5"/>
  <c r="W124" i="5"/>
  <c r="H124" i="12" s="1"/>
  <c r="J124" i="5"/>
  <c r="H124" i="5"/>
  <c r="B124" i="5"/>
  <c r="F124" i="5"/>
  <c r="AD124" i="5"/>
  <c r="E124" i="5"/>
  <c r="AE124" i="5"/>
  <c r="K124" i="5"/>
  <c r="C125" i="5"/>
  <c r="N124" i="5"/>
  <c r="D124" i="6" s="1"/>
  <c r="H124" i="6" s="1"/>
  <c r="T124" i="5" s="1"/>
  <c r="L123" i="12"/>
  <c r="J123" i="12"/>
  <c r="X119" i="12"/>
  <c r="AR122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G123" i="12"/>
  <c r="X123" i="5"/>
  <c r="E120" i="6"/>
  <c r="D120" i="12"/>
  <c r="AA121" i="5"/>
  <c r="AB121" i="5"/>
  <c r="C121" i="12"/>
  <c r="O121" i="12"/>
  <c r="M121" i="12"/>
  <c r="AO121" i="12"/>
  <c r="T119" i="12"/>
  <c r="U119" i="12"/>
  <c r="V119" i="12"/>
  <c r="C121" i="6"/>
  <c r="O121" i="5"/>
  <c r="Y120" i="12" l="1"/>
  <c r="W120" i="12" s="1"/>
  <c r="U120" i="12" s="1"/>
  <c r="N120" i="12"/>
  <c r="BD123" i="6"/>
  <c r="AP123" i="6"/>
  <c r="AE123" i="6"/>
  <c r="AX123" i="6"/>
  <c r="AV123" i="6"/>
  <c r="AJ123" i="6"/>
  <c r="AH123" i="6"/>
  <c r="BE123" i="6"/>
  <c r="AC123" i="6"/>
  <c r="AG123" i="6"/>
  <c r="BG123" i="6"/>
  <c r="BA123" i="6"/>
  <c r="BF123" i="6"/>
  <c r="AM123" i="6"/>
  <c r="AR123" i="6"/>
  <c r="AY123" i="6"/>
  <c r="BC123" i="6"/>
  <c r="AN123" i="6"/>
  <c r="AZ123" i="6"/>
  <c r="AU123" i="6"/>
  <c r="AO123" i="6"/>
  <c r="AS123" i="6"/>
  <c r="AQ123" i="6"/>
  <c r="AB123" i="6"/>
  <c r="AK123" i="6"/>
  <c r="AT123" i="6"/>
  <c r="AD123" i="6"/>
  <c r="AI123" i="6"/>
  <c r="AF123" i="6"/>
  <c r="A124" i="6"/>
  <c r="M124" i="6" s="1"/>
  <c r="BF124" i="6" s="1"/>
  <c r="K123" i="12"/>
  <c r="L124" i="12"/>
  <c r="J124" i="12"/>
  <c r="B125" i="6"/>
  <c r="C126" i="5"/>
  <c r="A125" i="12"/>
  <c r="W125" i="5"/>
  <c r="H125" i="12" s="1"/>
  <c r="N125" i="5"/>
  <c r="D125" i="6" s="1"/>
  <c r="H125" i="6" s="1"/>
  <c r="T125" i="5" s="1"/>
  <c r="G125" i="5"/>
  <c r="B125" i="5"/>
  <c r="E125" i="5"/>
  <c r="AE125" i="5"/>
  <c r="D125" i="5"/>
  <c r="B125" i="12" s="1"/>
  <c r="K125" i="5"/>
  <c r="H125" i="5"/>
  <c r="J125" i="5"/>
  <c r="AD125" i="5"/>
  <c r="F125" i="5"/>
  <c r="Y121" i="12"/>
  <c r="X121" i="12" s="1"/>
  <c r="N121" i="12"/>
  <c r="G124" i="12"/>
  <c r="X124" i="5"/>
  <c r="L123" i="5"/>
  <c r="AM123" i="5"/>
  <c r="I123" i="12"/>
  <c r="Z123" i="5"/>
  <c r="C122" i="6"/>
  <c r="O122" i="5"/>
  <c r="D121" i="12"/>
  <c r="E121" i="6"/>
  <c r="AB122" i="5"/>
  <c r="AA122" i="5"/>
  <c r="C122" i="12"/>
  <c r="M122" i="12"/>
  <c r="AO122" i="12"/>
  <c r="O122" i="12"/>
  <c r="T120" i="12" l="1"/>
  <c r="V120" i="12"/>
  <c r="X120" i="12"/>
  <c r="K124" i="12"/>
  <c r="A125" i="6"/>
  <c r="M125" i="6" s="1"/>
  <c r="AY125" i="6" s="1"/>
  <c r="AK124" i="6"/>
  <c r="AM124" i="6"/>
  <c r="AF124" i="6"/>
  <c r="L125" i="12"/>
  <c r="J125" i="12"/>
  <c r="W126" i="5"/>
  <c r="H126" i="12" s="1"/>
  <c r="J126" i="5"/>
  <c r="N126" i="5"/>
  <c r="D126" i="6" s="1"/>
  <c r="F126" i="5"/>
  <c r="C127" i="5"/>
  <c r="D126" i="5"/>
  <c r="B126" i="12" s="1"/>
  <c r="B126" i="5"/>
  <c r="AE126" i="5"/>
  <c r="G126" i="5"/>
  <c r="A126" i="12"/>
  <c r="K126" i="5"/>
  <c r="H126" i="5"/>
  <c r="AD126" i="5"/>
  <c r="B126" i="6"/>
  <c r="E126" i="5"/>
  <c r="BG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Y122" i="12"/>
  <c r="W122" i="12" s="1"/>
  <c r="E122" i="6"/>
  <c r="D122" i="12"/>
  <c r="L124" i="5"/>
  <c r="I124" i="12"/>
  <c r="AM124" i="5"/>
  <c r="Z124" i="5"/>
  <c r="AA123" i="5"/>
  <c r="AB123" i="5"/>
  <c r="C123" i="12"/>
  <c r="O123" i="12"/>
  <c r="AO123" i="12"/>
  <c r="M123" i="12"/>
  <c r="C123" i="6"/>
  <c r="O123" i="5"/>
  <c r="G125" i="12"/>
  <c r="X125" i="5"/>
  <c r="AK125" i="6" l="1"/>
  <c r="AP125" i="6"/>
  <c r="BB125" i="6"/>
  <c r="AQ125" i="6"/>
  <c r="AG125" i="6"/>
  <c r="AH125" i="6"/>
  <c r="BD125" i="6"/>
  <c r="AE125" i="6"/>
  <c r="BG125" i="6"/>
  <c r="T121" i="12"/>
  <c r="AF125" i="6"/>
  <c r="AN125" i="6"/>
  <c r="AO125" i="6"/>
  <c r="BA125" i="6"/>
  <c r="AM125" i="6"/>
  <c r="AV125" i="6"/>
  <c r="A126" i="6"/>
  <c r="M126" i="6" s="1"/>
  <c r="AV126" i="6" s="1"/>
  <c r="AJ125" i="6"/>
  <c r="BF125" i="6"/>
  <c r="AC125" i="6"/>
  <c r="BC125" i="6"/>
  <c r="AI125" i="6"/>
  <c r="AU125" i="6"/>
  <c r="BE125" i="6"/>
  <c r="AX125" i="6"/>
  <c r="AT125" i="6"/>
  <c r="AR125" i="6"/>
  <c r="AB125" i="6"/>
  <c r="AS125" i="6"/>
  <c r="AD125" i="6"/>
  <c r="AZ125" i="6"/>
  <c r="H126" i="6"/>
  <c r="T126" i="5" s="1"/>
  <c r="X126" i="5" s="1"/>
  <c r="U121" i="12"/>
  <c r="K125" i="12"/>
  <c r="J126" i="12"/>
  <c r="L126" i="12"/>
  <c r="N127" i="5"/>
  <c r="D127" i="6" s="1"/>
  <c r="H127" i="6" s="1"/>
  <c r="T127" i="5" s="1"/>
  <c r="B127" i="5"/>
  <c r="E127" i="5"/>
  <c r="A127" i="12"/>
  <c r="AE127" i="5"/>
  <c r="C128" i="5"/>
  <c r="F127" i="5"/>
  <c r="G127" i="5"/>
  <c r="H127" i="5"/>
  <c r="AD127" i="5"/>
  <c r="B127" i="6"/>
  <c r="D127" i="5"/>
  <c r="B127" i="12" s="1"/>
  <c r="K127" i="5"/>
  <c r="W127" i="5"/>
  <c r="H127" i="12" s="1"/>
  <c r="J127" i="5"/>
  <c r="X122" i="12"/>
  <c r="D123" i="12"/>
  <c r="E123" i="6"/>
  <c r="N123" i="12"/>
  <c r="C124" i="12"/>
  <c r="O124" i="12"/>
  <c r="AO124" i="12"/>
  <c r="M124" i="12"/>
  <c r="I125" i="12"/>
  <c r="L125" i="5"/>
  <c r="AM125" i="5"/>
  <c r="Z125" i="5"/>
  <c r="Y123" i="12"/>
  <c r="AA124" i="5"/>
  <c r="AB124" i="5"/>
  <c r="C124" i="6"/>
  <c r="O124" i="5"/>
  <c r="T122" i="12"/>
  <c r="V122" i="12"/>
  <c r="U122" i="12"/>
  <c r="AY126" i="6" l="1"/>
  <c r="AQ126" i="6"/>
  <c r="BC126" i="6"/>
  <c r="AC126" i="6"/>
  <c r="AR126" i="6"/>
  <c r="BB126" i="6"/>
  <c r="AZ126" i="6"/>
  <c r="AM126" i="6"/>
  <c r="AO126" i="6"/>
  <c r="AX126" i="6"/>
  <c r="AN126" i="6"/>
  <c r="BG126" i="6"/>
  <c r="G126" i="12"/>
  <c r="AJ126" i="6"/>
  <c r="AE126" i="6"/>
  <c r="AH126" i="6"/>
  <c r="AB126" i="6"/>
  <c r="AK126" i="6"/>
  <c r="AI126" i="6"/>
  <c r="BE126" i="6"/>
  <c r="BD126" i="6"/>
  <c r="AP126" i="6"/>
  <c r="AD126" i="6"/>
  <c r="BA126" i="6"/>
  <c r="AT126" i="6"/>
  <c r="BF126" i="6"/>
  <c r="AU126" i="6"/>
  <c r="AS126" i="6"/>
  <c r="A127" i="6"/>
  <c r="M127" i="6" s="1"/>
  <c r="BA127" i="6" s="1"/>
  <c r="AF126" i="6"/>
  <c r="AG126" i="6"/>
  <c r="K126" i="12"/>
  <c r="B128" i="5"/>
  <c r="D128" i="5"/>
  <c r="B128" i="12" s="1"/>
  <c r="C129" i="5"/>
  <c r="H128" i="5"/>
  <c r="A128" i="12"/>
  <c r="B128" i="6"/>
  <c r="AD128" i="5"/>
  <c r="G128" i="5"/>
  <c r="W128" i="5"/>
  <c r="H128" i="12" s="1"/>
  <c r="F128" i="5"/>
  <c r="K128" i="5"/>
  <c r="E128" i="5"/>
  <c r="N128" i="5"/>
  <c r="D128" i="6" s="1"/>
  <c r="H128" i="6" s="1"/>
  <c r="T128" i="5" s="1"/>
  <c r="J128" i="5"/>
  <c r="AE128" i="5"/>
  <c r="L127" i="12"/>
  <c r="J127" i="12"/>
  <c r="Y124" i="12"/>
  <c r="W124" i="12" s="1"/>
  <c r="D124" i="12"/>
  <c r="E124" i="6"/>
  <c r="X123" i="12"/>
  <c r="W123" i="12"/>
  <c r="C125" i="12"/>
  <c r="M125" i="12"/>
  <c r="AO125" i="12"/>
  <c r="O125" i="12"/>
  <c r="G127" i="12"/>
  <c r="X127" i="5"/>
  <c r="AA125" i="5"/>
  <c r="AB125" i="5"/>
  <c r="C125" i="6"/>
  <c r="O125" i="5"/>
  <c r="I126" i="12"/>
  <c r="L126" i="5"/>
  <c r="AM126" i="5"/>
  <c r="Z126" i="5"/>
  <c r="N124" i="12"/>
  <c r="AO127" i="6" l="1"/>
  <c r="AB127" i="6"/>
  <c r="AI127" i="6"/>
  <c r="AR127" i="6"/>
  <c r="AY127" i="6"/>
  <c r="BF127" i="6"/>
  <c r="AQ127" i="6"/>
  <c r="AP127" i="6"/>
  <c r="AG127" i="6"/>
  <c r="AE127" i="6"/>
  <c r="AV127" i="6"/>
  <c r="AC127" i="6"/>
  <c r="AN127" i="6"/>
  <c r="AS127" i="6"/>
  <c r="AX127" i="6"/>
  <c r="BB127" i="6"/>
  <c r="BG127" i="6"/>
  <c r="AU127" i="6"/>
  <c r="BD127" i="6"/>
  <c r="AD127" i="6"/>
  <c r="AM127" i="6"/>
  <c r="AF127" i="6"/>
  <c r="AK127" i="6"/>
  <c r="AH127" i="6"/>
  <c r="BC127" i="6"/>
  <c r="BE127" i="6"/>
  <c r="AT127" i="6"/>
  <c r="AZ127" i="6"/>
  <c r="AJ127" i="6"/>
  <c r="A128" i="6"/>
  <c r="M128" i="6" s="1"/>
  <c r="BF128" i="6" s="1"/>
  <c r="K127" i="12"/>
  <c r="A129" i="12"/>
  <c r="B129" i="6"/>
  <c r="D129" i="5"/>
  <c r="B129" i="12" s="1"/>
  <c r="J129" i="5"/>
  <c r="W129" i="5"/>
  <c r="H129" i="12" s="1"/>
  <c r="C130" i="5"/>
  <c r="K129" i="5"/>
  <c r="AD129" i="5"/>
  <c r="F129" i="5"/>
  <c r="N129" i="5"/>
  <c r="D129" i="6" s="1"/>
  <c r="H129" i="6" s="1"/>
  <c r="T129" i="5" s="1"/>
  <c r="H129" i="5"/>
  <c r="B129" i="5"/>
  <c r="G129" i="5"/>
  <c r="E129" i="5"/>
  <c r="AE129" i="5"/>
  <c r="J128" i="12"/>
  <c r="L128" i="12"/>
  <c r="N125" i="12"/>
  <c r="X124" i="12"/>
  <c r="Y125" i="12"/>
  <c r="X125" i="12" s="1"/>
  <c r="G128" i="12"/>
  <c r="X128" i="5"/>
  <c r="AB126" i="5"/>
  <c r="AA126" i="5"/>
  <c r="C126" i="6"/>
  <c r="O126" i="5"/>
  <c r="E125" i="6"/>
  <c r="D125" i="12"/>
  <c r="T124" i="12"/>
  <c r="U124" i="12"/>
  <c r="V124" i="12"/>
  <c r="C126" i="12"/>
  <c r="AO126" i="12"/>
  <c r="O126" i="12"/>
  <c r="M126" i="12"/>
  <c r="AM127" i="5"/>
  <c r="L127" i="5"/>
  <c r="I127" i="12"/>
  <c r="Z127" i="5"/>
  <c r="U123" i="12"/>
  <c r="V123" i="12"/>
  <c r="T123" i="12"/>
  <c r="K128" i="12" l="1"/>
  <c r="AC128" i="6"/>
  <c r="AG128" i="6"/>
  <c r="AE128" i="6"/>
  <c r="A129" i="6"/>
  <c r="M129" i="6" s="1"/>
  <c r="AJ129" i="6" s="1"/>
  <c r="AK128" i="6"/>
  <c r="AP128" i="6"/>
  <c r="BE128" i="6"/>
  <c r="AJ128" i="6"/>
  <c r="AU128" i="6"/>
  <c r="AM128" i="6"/>
  <c r="AR128" i="6"/>
  <c r="AQ128" i="6"/>
  <c r="AS128" i="6"/>
  <c r="BD128" i="6"/>
  <c r="AB128" i="6"/>
  <c r="AF128" i="6"/>
  <c r="AD128" i="6"/>
  <c r="BC128" i="6"/>
  <c r="AN128" i="6"/>
  <c r="BG128" i="6"/>
  <c r="AY128" i="6"/>
  <c r="AV128" i="6"/>
  <c r="AZ128" i="6"/>
  <c r="BB128" i="6"/>
  <c r="AH128" i="6"/>
  <c r="AI128" i="6"/>
  <c r="AO128" i="6"/>
  <c r="AT128" i="6"/>
  <c r="BA128" i="6"/>
  <c r="AX128" i="6"/>
  <c r="D130" i="5"/>
  <c r="B130" i="12" s="1"/>
  <c r="G130" i="5"/>
  <c r="J130" i="5"/>
  <c r="B130" i="5"/>
  <c r="A130" i="12"/>
  <c r="C131" i="5"/>
  <c r="F130" i="5"/>
  <c r="K130" i="5"/>
  <c r="AD130" i="5"/>
  <c r="AE130" i="5"/>
  <c r="N130" i="5"/>
  <c r="D130" i="6" s="1"/>
  <c r="H130" i="6" s="1"/>
  <c r="T130" i="5" s="1"/>
  <c r="H130" i="5"/>
  <c r="B130" i="6"/>
  <c r="W130" i="5"/>
  <c r="H130" i="12" s="1"/>
  <c r="E130" i="5"/>
  <c r="L129" i="12"/>
  <c r="J129" i="12"/>
  <c r="W125" i="12"/>
  <c r="U125" i="12" s="1"/>
  <c r="N126" i="12"/>
  <c r="C127" i="6"/>
  <c r="O127" i="5"/>
  <c r="G129" i="12"/>
  <c r="X129" i="5"/>
  <c r="I128" i="12"/>
  <c r="AM128" i="5"/>
  <c r="L128" i="5"/>
  <c r="Z128" i="5"/>
  <c r="AA127" i="5"/>
  <c r="AB127" i="5"/>
  <c r="C127" i="12"/>
  <c r="O127" i="12"/>
  <c r="AO127" i="12"/>
  <c r="M127" i="12"/>
  <c r="Y126" i="12"/>
  <c r="E126" i="6"/>
  <c r="D126" i="12"/>
  <c r="A130" i="6" l="1"/>
  <c r="M130" i="6" s="1"/>
  <c r="K129" i="12"/>
  <c r="C132" i="5"/>
  <c r="E131" i="5"/>
  <c r="AD131" i="5"/>
  <c r="A131" i="12"/>
  <c r="AE131" i="5"/>
  <c r="B131" i="6"/>
  <c r="F131" i="5"/>
  <c r="W131" i="5"/>
  <c r="H131" i="12" s="1"/>
  <c r="K131" i="5"/>
  <c r="G131" i="5"/>
  <c r="H131" i="5"/>
  <c r="D131" i="5"/>
  <c r="B131" i="12" s="1"/>
  <c r="J131" i="5"/>
  <c r="B131" i="5"/>
  <c r="N131" i="5"/>
  <c r="D131" i="6" s="1"/>
  <c r="H131" i="6" s="1"/>
  <c r="T131" i="5" s="1"/>
  <c r="L130" i="12"/>
  <c r="J130" i="12"/>
  <c r="AK129" i="6"/>
  <c r="T125" i="12"/>
  <c r="V125" i="12"/>
  <c r="AU129" i="6"/>
  <c r="AB129" i="6"/>
  <c r="AX129" i="6"/>
  <c r="AV129" i="6"/>
  <c r="BD129" i="6"/>
  <c r="AG129" i="6"/>
  <c r="BE129" i="6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D127" i="12"/>
  <c r="E127" i="6"/>
  <c r="N127" i="12"/>
  <c r="L129" i="5"/>
  <c r="AM129" i="5"/>
  <c r="I129" i="12"/>
  <c r="Z129" i="5"/>
  <c r="G130" i="12"/>
  <c r="X130" i="5"/>
  <c r="W127" i="12" l="1"/>
  <c r="V127" i="12" s="1"/>
  <c r="K130" i="12"/>
  <c r="A131" i="6"/>
  <c r="M131" i="6" s="1"/>
  <c r="AP131" i="6" s="1"/>
  <c r="H132" i="5"/>
  <c r="N132" i="5"/>
  <c r="D132" i="6" s="1"/>
  <c r="H132" i="6" s="1"/>
  <c r="T132" i="5" s="1"/>
  <c r="W132" i="5"/>
  <c r="H132" i="12" s="1"/>
  <c r="F132" i="5"/>
  <c r="B132" i="5"/>
  <c r="AD132" i="5"/>
  <c r="A132" i="12"/>
  <c r="K132" i="5"/>
  <c r="C133" i="5"/>
  <c r="AE132" i="5"/>
  <c r="B132" i="6"/>
  <c r="D132" i="5"/>
  <c r="B132" i="12" s="1"/>
  <c r="G132" i="5"/>
  <c r="E132" i="5"/>
  <c r="J132" i="5"/>
  <c r="J131" i="12"/>
  <c r="L131" i="12"/>
  <c r="Y128" i="12"/>
  <c r="W128" i="12" s="1"/>
  <c r="G131" i="12"/>
  <c r="X131" i="5"/>
  <c r="E128" i="6"/>
  <c r="D128" i="12"/>
  <c r="U126" i="12"/>
  <c r="V126" i="12"/>
  <c r="T126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N128" i="12"/>
  <c r="T127" i="12" l="1"/>
  <c r="U127" i="12"/>
  <c r="AB131" i="6"/>
  <c r="AU131" i="6"/>
  <c r="AS131" i="6"/>
  <c r="AY131" i="6"/>
  <c r="AN131" i="6"/>
  <c r="AG131" i="6"/>
  <c r="BC131" i="6"/>
  <c r="AJ131" i="6"/>
  <c r="AX131" i="6"/>
  <c r="BA131" i="6"/>
  <c r="AF131" i="6"/>
  <c r="AC131" i="6"/>
  <c r="AR131" i="6"/>
  <c r="AI131" i="6"/>
  <c r="X128" i="12"/>
  <c r="AD131" i="6"/>
  <c r="AE131" i="6"/>
  <c r="BE131" i="6"/>
  <c r="AK131" i="6"/>
  <c r="AQ131" i="6"/>
  <c r="BF131" i="6"/>
  <c r="AM131" i="6"/>
  <c r="AH131" i="6"/>
  <c r="AO131" i="6"/>
  <c r="BG131" i="6"/>
  <c r="AV131" i="6"/>
  <c r="AT131" i="6"/>
  <c r="AZ131" i="6"/>
  <c r="A132" i="6"/>
  <c r="M132" i="6" s="1"/>
  <c r="BC132" i="6" s="1"/>
  <c r="BB131" i="6"/>
  <c r="BD131" i="6"/>
  <c r="K131" i="12"/>
  <c r="L132" i="12"/>
  <c r="J132" i="12"/>
  <c r="D133" i="5"/>
  <c r="B133" i="12" s="1"/>
  <c r="G133" i="5"/>
  <c r="E133" i="5"/>
  <c r="W133" i="5"/>
  <c r="H133" i="12" s="1"/>
  <c r="B133" i="6"/>
  <c r="F133" i="5"/>
  <c r="AD133" i="5"/>
  <c r="H133" i="5"/>
  <c r="B133" i="5"/>
  <c r="K133" i="5"/>
  <c r="N133" i="5"/>
  <c r="D133" i="6" s="1"/>
  <c r="C134" i="5"/>
  <c r="AE133" i="5"/>
  <c r="J133" i="5"/>
  <c r="A133" i="12"/>
  <c r="N129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G132" i="12"/>
  <c r="X132" i="5"/>
  <c r="E129" i="6"/>
  <c r="D129" i="12"/>
  <c r="Y129" i="12"/>
  <c r="AU132" i="6" l="1"/>
  <c r="AV132" i="6"/>
  <c r="AY132" i="6"/>
  <c r="AF132" i="6"/>
  <c r="AP132" i="6"/>
  <c r="BG132" i="6"/>
  <c r="AS132" i="6"/>
  <c r="AX132" i="6"/>
  <c r="BF132" i="6"/>
  <c r="AN132" i="6"/>
  <c r="AD132" i="6"/>
  <c r="AC132" i="6"/>
  <c r="AJ132" i="6"/>
  <c r="AM132" i="6"/>
  <c r="AQ132" i="6"/>
  <c r="AE132" i="6"/>
  <c r="AO132" i="6"/>
  <c r="BA132" i="6"/>
  <c r="BD132" i="6"/>
  <c r="AH132" i="6"/>
  <c r="AZ132" i="6"/>
  <c r="AG132" i="6"/>
  <c r="AK132" i="6"/>
  <c r="AI132" i="6"/>
  <c r="AR132" i="6"/>
  <c r="BE132" i="6"/>
  <c r="BB132" i="6"/>
  <c r="AB132" i="6"/>
  <c r="AT132" i="6"/>
  <c r="A133" i="6"/>
  <c r="M133" i="6" s="1"/>
  <c r="AU133" i="6" s="1"/>
  <c r="H133" i="6"/>
  <c r="T133" i="5" s="1"/>
  <c r="X133" i="5" s="1"/>
  <c r="F134" i="5"/>
  <c r="B134" i="6"/>
  <c r="H134" i="5"/>
  <c r="E134" i="5"/>
  <c r="W134" i="5"/>
  <c r="H134" i="12" s="1"/>
  <c r="K134" i="5"/>
  <c r="AE134" i="5"/>
  <c r="J134" i="5"/>
  <c r="A134" i="12"/>
  <c r="AD134" i="5"/>
  <c r="C135" i="5"/>
  <c r="N134" i="5"/>
  <c r="D134" i="6" s="1"/>
  <c r="H134" i="6" s="1"/>
  <c r="T134" i="5" s="1"/>
  <c r="G134" i="5"/>
  <c r="B134" i="5"/>
  <c r="D134" i="5"/>
  <c r="B134" i="12" s="1"/>
  <c r="L133" i="12"/>
  <c r="J133" i="12"/>
  <c r="K132" i="12"/>
  <c r="N130" i="12"/>
  <c r="Y130" i="12"/>
  <c r="W130" i="12" s="1"/>
  <c r="W129" i="12"/>
  <c r="X129" i="12"/>
  <c r="L132" i="5"/>
  <c r="AM132" i="5"/>
  <c r="I132" i="12"/>
  <c r="Z132" i="5"/>
  <c r="AB131" i="5"/>
  <c r="AA131" i="5"/>
  <c r="C131" i="6"/>
  <c r="O131" i="5"/>
  <c r="C131" i="12"/>
  <c r="AO131" i="12"/>
  <c r="O131" i="12"/>
  <c r="M131" i="12"/>
  <c r="E130" i="6"/>
  <c r="D130" i="12"/>
  <c r="G133" i="12" l="1"/>
  <c r="AP133" i="6"/>
  <c r="AT133" i="6"/>
  <c r="AG133" i="6"/>
  <c r="AY133" i="6"/>
  <c r="AV133" i="6"/>
  <c r="AD133" i="6"/>
  <c r="AM133" i="6"/>
  <c r="BC133" i="6"/>
  <c r="AK133" i="6"/>
  <c r="AS133" i="6"/>
  <c r="BA133" i="6"/>
  <c r="AF133" i="6"/>
  <c r="AX133" i="6"/>
  <c r="BF133" i="6"/>
  <c r="AN133" i="6"/>
  <c r="BG133" i="6"/>
  <c r="AR133" i="6"/>
  <c r="AQ133" i="6"/>
  <c r="BD133" i="6"/>
  <c r="AI133" i="6"/>
  <c r="BB133" i="6"/>
  <c r="AO133" i="6"/>
  <c r="AB133" i="6"/>
  <c r="AE133" i="6"/>
  <c r="BE133" i="6"/>
  <c r="AJ133" i="6"/>
  <c r="AC133" i="6"/>
  <c r="AH133" i="6"/>
  <c r="AZ133" i="6"/>
  <c r="K133" i="12"/>
  <c r="A134" i="6"/>
  <c r="M134" i="6" s="1"/>
  <c r="AV134" i="6" s="1"/>
  <c r="AE135" i="5"/>
  <c r="W135" i="5"/>
  <c r="H135" i="12" s="1"/>
  <c r="N135" i="5"/>
  <c r="D135" i="6" s="1"/>
  <c r="H135" i="6" s="1"/>
  <c r="T135" i="5" s="1"/>
  <c r="E135" i="5"/>
  <c r="F135" i="5"/>
  <c r="D135" i="5"/>
  <c r="B135" i="12" s="1"/>
  <c r="B135" i="6"/>
  <c r="A135" i="12"/>
  <c r="H135" i="5"/>
  <c r="J135" i="5"/>
  <c r="G135" i="5"/>
  <c r="K135" i="5"/>
  <c r="AD135" i="5"/>
  <c r="B135" i="5"/>
  <c r="C136" i="5"/>
  <c r="L134" i="12"/>
  <c r="J134" i="12"/>
  <c r="X130" i="12"/>
  <c r="Y131" i="12"/>
  <c r="X131" i="12" s="1"/>
  <c r="D131" i="12"/>
  <c r="E131" i="6"/>
  <c r="I133" i="12"/>
  <c r="AM133" i="5"/>
  <c r="L133" i="5"/>
  <c r="Z133" i="5"/>
  <c r="N131" i="12"/>
  <c r="G134" i="12"/>
  <c r="X134" i="5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BF134" i="6" l="1"/>
  <c r="BE134" i="6"/>
  <c r="AU134" i="6"/>
  <c r="AH134" i="6"/>
  <c r="BG134" i="6"/>
  <c r="AG134" i="6"/>
  <c r="AQ134" i="6"/>
  <c r="AF134" i="6"/>
  <c r="AZ134" i="6"/>
  <c r="BB134" i="6"/>
  <c r="BD134" i="6"/>
  <c r="AN134" i="6"/>
  <c r="A135" i="6"/>
  <c r="M135" i="6" s="1"/>
  <c r="AB135" i="6" s="1"/>
  <c r="BA134" i="6"/>
  <c r="AI134" i="6"/>
  <c r="AY134" i="6"/>
  <c r="AK134" i="6"/>
  <c r="AR134" i="6"/>
  <c r="AD134" i="6"/>
  <c r="AM134" i="6"/>
  <c r="AS134" i="6"/>
  <c r="AX134" i="6"/>
  <c r="AO134" i="6"/>
  <c r="AB134" i="6"/>
  <c r="AC134" i="6"/>
  <c r="AP134" i="6"/>
  <c r="AJ134" i="6"/>
  <c r="AE134" i="6"/>
  <c r="BC134" i="6"/>
  <c r="AT134" i="6"/>
  <c r="W131" i="12"/>
  <c r="T131" i="12" s="1"/>
  <c r="K134" i="12"/>
  <c r="L135" i="12"/>
  <c r="J135" i="12"/>
  <c r="B136" i="5"/>
  <c r="J136" i="5"/>
  <c r="AE136" i="5"/>
  <c r="G136" i="5"/>
  <c r="K136" i="5"/>
  <c r="H136" i="5"/>
  <c r="C137" i="5"/>
  <c r="E136" i="5"/>
  <c r="W136" i="5"/>
  <c r="H136" i="12" s="1"/>
  <c r="F136" i="5"/>
  <c r="B136" i="6"/>
  <c r="AD136" i="5"/>
  <c r="D136" i="5"/>
  <c r="B136" i="12" s="1"/>
  <c r="A136" i="12"/>
  <c r="N136" i="5"/>
  <c r="D136" i="6" s="1"/>
  <c r="H136" i="6" s="1"/>
  <c r="T136" i="5" s="1"/>
  <c r="N132" i="12"/>
  <c r="Y132" i="12"/>
  <c r="W132" i="12" s="1"/>
  <c r="AA133" i="5"/>
  <c r="AB133" i="5"/>
  <c r="C133" i="6"/>
  <c r="O133" i="5"/>
  <c r="C133" i="12"/>
  <c r="AO133" i="12"/>
  <c r="O133" i="12"/>
  <c r="M133" i="12"/>
  <c r="E132" i="6"/>
  <c r="D132" i="12"/>
  <c r="AM134" i="5"/>
  <c r="L134" i="5"/>
  <c r="I134" i="12"/>
  <c r="Z134" i="5"/>
  <c r="G135" i="12"/>
  <c r="X135" i="5"/>
  <c r="U131" i="12" l="1"/>
  <c r="V131" i="12"/>
  <c r="K135" i="12"/>
  <c r="A136" i="6"/>
  <c r="M136" i="6" s="1"/>
  <c r="AU136" i="6" s="1"/>
  <c r="A137" i="12"/>
  <c r="W137" i="5"/>
  <c r="H137" i="12" s="1"/>
  <c r="E137" i="5"/>
  <c r="K137" i="5"/>
  <c r="B137" i="5"/>
  <c r="B137" i="6"/>
  <c r="C138" i="5"/>
  <c r="H137" i="5"/>
  <c r="D137" i="5"/>
  <c r="B137" i="12" s="1"/>
  <c r="N137" i="5"/>
  <c r="D137" i="6" s="1"/>
  <c r="H137" i="6" s="1"/>
  <c r="T137" i="5" s="1"/>
  <c r="AE137" i="5"/>
  <c r="G137" i="5"/>
  <c r="J137" i="5"/>
  <c r="AD137" i="5"/>
  <c r="F137" i="5"/>
  <c r="J136" i="12"/>
  <c r="L136" i="12"/>
  <c r="X132" i="12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C134" i="6"/>
  <c r="O134" i="5"/>
  <c r="N133" i="12"/>
  <c r="A137" i="6" l="1"/>
  <c r="M137" i="6" s="1"/>
  <c r="BC136" i="6"/>
  <c r="AB136" i="6"/>
  <c r="K136" i="12"/>
  <c r="F138" i="5"/>
  <c r="C139" i="5"/>
  <c r="B138" i="6"/>
  <c r="W138" i="5"/>
  <c r="H138" i="12" s="1"/>
  <c r="AD138" i="5"/>
  <c r="N138" i="5"/>
  <c r="D138" i="6" s="1"/>
  <c r="H138" i="6" s="1"/>
  <c r="T138" i="5" s="1"/>
  <c r="A138" i="12"/>
  <c r="E138" i="5"/>
  <c r="D138" i="5"/>
  <c r="B138" i="12" s="1"/>
  <c r="AE138" i="5"/>
  <c r="B138" i="5"/>
  <c r="G138" i="5"/>
  <c r="K138" i="5"/>
  <c r="H138" i="5"/>
  <c r="J138" i="5"/>
  <c r="L137" i="12"/>
  <c r="J137" i="12"/>
  <c r="AM136" i="6"/>
  <c r="AK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N134" i="12"/>
  <c r="C135" i="12"/>
  <c r="O135" i="12"/>
  <c r="M135" i="12"/>
  <c r="AO135" i="12"/>
  <c r="D134" i="12"/>
  <c r="E134" i="6"/>
  <c r="G137" i="12"/>
  <c r="X137" i="5"/>
  <c r="AM136" i="5"/>
  <c r="I136" i="12"/>
  <c r="L136" i="5"/>
  <c r="Z136" i="5"/>
  <c r="Y134" i="12"/>
  <c r="AB135" i="5"/>
  <c r="AA135" i="5"/>
  <c r="C135" i="6"/>
  <c r="O135" i="5"/>
  <c r="A138" i="6" l="1"/>
  <c r="M138" i="6" s="1"/>
  <c r="AP138" i="6" s="1"/>
  <c r="K137" i="12"/>
  <c r="L138" i="12"/>
  <c r="J138" i="12"/>
  <c r="C140" i="5"/>
  <c r="F139" i="5"/>
  <c r="D139" i="5"/>
  <c r="B139" i="12" s="1"/>
  <c r="G139" i="5"/>
  <c r="N139" i="5"/>
  <c r="D139" i="6" s="1"/>
  <c r="B139" i="6"/>
  <c r="AD139" i="5"/>
  <c r="A139" i="12"/>
  <c r="J139" i="5"/>
  <c r="AE139" i="5"/>
  <c r="H139" i="5"/>
  <c r="K139" i="5"/>
  <c r="W139" i="5"/>
  <c r="H139" i="12" s="1"/>
  <c r="E139" i="5"/>
  <c r="B139" i="5"/>
  <c r="T133" i="12"/>
  <c r="Y135" i="12"/>
  <c r="W135" i="12" s="1"/>
  <c r="U133" i="12"/>
  <c r="D135" i="12"/>
  <c r="E135" i="6"/>
  <c r="X134" i="12"/>
  <c r="W134" i="12"/>
  <c r="C136" i="6"/>
  <c r="O136" i="5"/>
  <c r="AB136" i="5"/>
  <c r="AA136" i="5"/>
  <c r="C136" i="12"/>
  <c r="O136" i="12"/>
  <c r="M136" i="12"/>
  <c r="AO136" i="12"/>
  <c r="AM137" i="5"/>
  <c r="I137" i="12"/>
  <c r="L137" i="5"/>
  <c r="Z137" i="5"/>
  <c r="G138" i="12"/>
  <c r="X138" i="5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A139" i="6" l="1"/>
  <c r="M139" i="6" s="1"/>
  <c r="BB139" i="6" s="1"/>
  <c r="K138" i="12"/>
  <c r="H139" i="6"/>
  <c r="T139" i="5" s="1"/>
  <c r="X139" i="5" s="1"/>
  <c r="B140" i="5"/>
  <c r="F140" i="5"/>
  <c r="W140" i="5"/>
  <c r="H140" i="12" s="1"/>
  <c r="H140" i="5"/>
  <c r="A140" i="12"/>
  <c r="K140" i="5"/>
  <c r="G140" i="5"/>
  <c r="C141" i="5"/>
  <c r="AE140" i="5"/>
  <c r="N140" i="5"/>
  <c r="D140" i="6" s="1"/>
  <c r="H140" i="6" s="1"/>
  <c r="T140" i="5" s="1"/>
  <c r="J140" i="5"/>
  <c r="E140" i="5"/>
  <c r="AD140" i="5"/>
  <c r="D140" i="5"/>
  <c r="B140" i="12" s="1"/>
  <c r="B140" i="6"/>
  <c r="L139" i="12"/>
  <c r="J139" i="12"/>
  <c r="X135" i="12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AE138" i="6"/>
  <c r="AS138" i="6"/>
  <c r="AM138" i="6"/>
  <c r="BE138" i="6"/>
  <c r="AR138" i="6"/>
  <c r="AD138" i="6"/>
  <c r="BD138" i="6"/>
  <c r="AC138" i="6"/>
  <c r="AJ138" i="6"/>
  <c r="N136" i="12"/>
  <c r="V135" i="12"/>
  <c r="T135" i="12"/>
  <c r="U135" i="12"/>
  <c r="L138" i="5"/>
  <c r="I138" i="12"/>
  <c r="AM138" i="5"/>
  <c r="Z138" i="5"/>
  <c r="C137" i="12"/>
  <c r="O137" i="12"/>
  <c r="AO137" i="12"/>
  <c r="M137" i="12"/>
  <c r="D136" i="12"/>
  <c r="E136" i="6"/>
  <c r="U134" i="12"/>
  <c r="V134" i="12"/>
  <c r="T134" i="12"/>
  <c r="AB137" i="5"/>
  <c r="AA137" i="5"/>
  <c r="C137" i="6"/>
  <c r="O137" i="5"/>
  <c r="G139" i="12" l="1"/>
  <c r="A140" i="6"/>
  <c r="M140" i="6" s="1"/>
  <c r="K139" i="12"/>
  <c r="G141" i="5"/>
  <c r="N141" i="5"/>
  <c r="D141" i="6" s="1"/>
  <c r="H141" i="6" s="1"/>
  <c r="T141" i="5" s="1"/>
  <c r="E141" i="5"/>
  <c r="B141" i="6"/>
  <c r="B141" i="5"/>
  <c r="J141" i="5"/>
  <c r="AE141" i="5"/>
  <c r="C142" i="5"/>
  <c r="D141" i="5"/>
  <c r="B141" i="12" s="1"/>
  <c r="F141" i="5"/>
  <c r="H141" i="5"/>
  <c r="K141" i="5"/>
  <c r="A141" i="12"/>
  <c r="AD141" i="5"/>
  <c r="W141" i="5"/>
  <c r="H141" i="12" s="1"/>
  <c r="J140" i="12"/>
  <c r="L140" i="12"/>
  <c r="AS139" i="6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Y137" i="12"/>
  <c r="W137" i="12" s="1"/>
  <c r="E137" i="6"/>
  <c r="D137" i="12"/>
  <c r="G140" i="12"/>
  <c r="X140" i="5"/>
  <c r="AA138" i="5"/>
  <c r="AB138" i="5"/>
  <c r="C138" i="6"/>
  <c r="O138" i="5"/>
  <c r="AM139" i="5"/>
  <c r="L139" i="5"/>
  <c r="I139" i="12"/>
  <c r="Z139" i="5"/>
  <c r="N137" i="12"/>
  <c r="C138" i="12"/>
  <c r="M138" i="12"/>
  <c r="O138" i="12"/>
  <c r="AO138" i="12"/>
  <c r="A141" i="6" l="1"/>
  <c r="M141" i="6" s="1"/>
  <c r="AU141" i="6" s="1"/>
  <c r="K140" i="12"/>
  <c r="L141" i="12"/>
  <c r="J141" i="12"/>
  <c r="N142" i="5"/>
  <c r="D142" i="6" s="1"/>
  <c r="H142" i="6" s="1"/>
  <c r="T142" i="5" s="1"/>
  <c r="F142" i="5"/>
  <c r="A142" i="12"/>
  <c r="E142" i="5"/>
  <c r="B142" i="6"/>
  <c r="B142" i="5"/>
  <c r="G142" i="5"/>
  <c r="C143" i="5"/>
  <c r="D142" i="5"/>
  <c r="B142" i="12" s="1"/>
  <c r="AD142" i="5"/>
  <c r="W142" i="5"/>
  <c r="H142" i="12" s="1"/>
  <c r="AE142" i="5"/>
  <c r="K142" i="5"/>
  <c r="J142" i="5"/>
  <c r="H142" i="5"/>
  <c r="T136" i="12"/>
  <c r="U136" i="12"/>
  <c r="X137" i="12"/>
  <c r="N138" i="12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Y138" i="12"/>
  <c r="AD140" i="6"/>
  <c r="AG140" i="6"/>
  <c r="AC140" i="6"/>
  <c r="C139" i="12"/>
  <c r="O139" i="12"/>
  <c r="AO139" i="12"/>
  <c r="M139" i="12"/>
  <c r="G141" i="12"/>
  <c r="X141" i="5"/>
  <c r="A142" i="6" l="1"/>
  <c r="M142" i="6" s="1"/>
  <c r="AQ142" i="6" s="1"/>
  <c r="K141" i="12"/>
  <c r="B143" i="5"/>
  <c r="G143" i="5"/>
  <c r="H143" i="5"/>
  <c r="W143" i="5"/>
  <c r="H143" i="12" s="1"/>
  <c r="B143" i="6"/>
  <c r="A143" i="12"/>
  <c r="D143" i="5"/>
  <c r="B143" i="12" s="1"/>
  <c r="J143" i="5"/>
  <c r="F143" i="5"/>
  <c r="E143" i="5"/>
  <c r="C144" i="5"/>
  <c r="AE143" i="5"/>
  <c r="N143" i="5"/>
  <c r="D143" i="6" s="1"/>
  <c r="AD143" i="5"/>
  <c r="K143" i="5"/>
  <c r="L142" i="12"/>
  <c r="J142" i="12"/>
  <c r="AI141" i="6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N139" i="12"/>
  <c r="G142" i="12"/>
  <c r="X142" i="5"/>
  <c r="L141" i="5"/>
  <c r="I141" i="12"/>
  <c r="AM141" i="5"/>
  <c r="Z141" i="5"/>
  <c r="Y139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143" i="6" l="1"/>
  <c r="M143" i="6" s="1"/>
  <c r="BD143" i="6" s="1"/>
  <c r="H143" i="6"/>
  <c r="T143" i="5" s="1"/>
  <c r="X143" i="5" s="1"/>
  <c r="AH142" i="6"/>
  <c r="AB142" i="6"/>
  <c r="K142" i="12"/>
  <c r="C145" i="5"/>
  <c r="G144" i="5"/>
  <c r="B144" i="5"/>
  <c r="J144" i="5"/>
  <c r="E144" i="5"/>
  <c r="K144" i="5"/>
  <c r="N144" i="5"/>
  <c r="D144" i="6" s="1"/>
  <c r="H144" i="6" s="1"/>
  <c r="T144" i="5" s="1"/>
  <c r="H144" i="5"/>
  <c r="W144" i="5"/>
  <c r="H144" i="12" s="1"/>
  <c r="AD144" i="5"/>
  <c r="B144" i="6"/>
  <c r="AE144" i="5"/>
  <c r="A144" i="12"/>
  <c r="D144" i="5"/>
  <c r="B144" i="12" s="1"/>
  <c r="F144" i="5"/>
  <c r="L143" i="12"/>
  <c r="J143" i="12"/>
  <c r="AZ142" i="6"/>
  <c r="AF142" i="6"/>
  <c r="BA142" i="6"/>
  <c r="AI142" i="6"/>
  <c r="AC142" i="6"/>
  <c r="AK142" i="6"/>
  <c r="BF142" i="6"/>
  <c r="AT142" i="6"/>
  <c r="BB142" i="6"/>
  <c r="AD142" i="6"/>
  <c r="AP142" i="6"/>
  <c r="BE142" i="6"/>
  <c r="BC142" i="6"/>
  <c r="AY142" i="6"/>
  <c r="AV142" i="6"/>
  <c r="AU142" i="6"/>
  <c r="AE142" i="6"/>
  <c r="AS142" i="6"/>
  <c r="BG142" i="6"/>
  <c r="AX142" i="6"/>
  <c r="BD142" i="6"/>
  <c r="AG142" i="6"/>
  <c r="AO142" i="6"/>
  <c r="AM142" i="6"/>
  <c r="AJ142" i="6"/>
  <c r="AR142" i="6"/>
  <c r="AN142" i="6"/>
  <c r="Y140" i="12"/>
  <c r="X140" i="12" s="1"/>
  <c r="V138" i="12"/>
  <c r="U138" i="12"/>
  <c r="T138" i="12"/>
  <c r="C141" i="12"/>
  <c r="AO141" i="12"/>
  <c r="M141" i="12"/>
  <c r="O141" i="12"/>
  <c r="N140" i="12"/>
  <c r="D140" i="12"/>
  <c r="E140" i="6"/>
  <c r="X139" i="12"/>
  <c r="W139" i="12"/>
  <c r="AB141" i="5"/>
  <c r="AA141" i="5"/>
  <c r="C141" i="6"/>
  <c r="O141" i="5"/>
  <c r="AM142" i="5"/>
  <c r="L142" i="5"/>
  <c r="I142" i="12"/>
  <c r="Z142" i="5"/>
  <c r="G143" i="12" l="1"/>
  <c r="A144" i="6"/>
  <c r="M144" i="6" s="1"/>
  <c r="AF144" i="6" s="1"/>
  <c r="K143" i="12"/>
  <c r="J144" i="12"/>
  <c r="L144" i="12"/>
  <c r="G145" i="5"/>
  <c r="J145" i="5"/>
  <c r="E145" i="5"/>
  <c r="K145" i="5"/>
  <c r="H145" i="5"/>
  <c r="N145" i="5"/>
  <c r="D145" i="6" s="1"/>
  <c r="H145" i="6" s="1"/>
  <c r="T145" i="5" s="1"/>
  <c r="W145" i="5"/>
  <c r="H145" i="12" s="1"/>
  <c r="AD145" i="5"/>
  <c r="F145" i="5"/>
  <c r="B145" i="6"/>
  <c r="C146" i="5"/>
  <c r="A145" i="12"/>
  <c r="AE145" i="5"/>
  <c r="D145" i="5"/>
  <c r="B145" i="12" s="1"/>
  <c r="B145" i="5"/>
  <c r="W140" i="12"/>
  <c r="T140" i="12" s="1"/>
  <c r="AF143" i="6"/>
  <c r="BB143" i="6"/>
  <c r="BA143" i="6"/>
  <c r="AJ143" i="6"/>
  <c r="B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C142" i="6"/>
  <c r="O142" i="5"/>
  <c r="AM143" i="5"/>
  <c r="I143" i="12"/>
  <c r="L143" i="5"/>
  <c r="Z143" i="5"/>
  <c r="E141" i="6"/>
  <c r="D141" i="12"/>
  <c r="V139" i="12"/>
  <c r="U139" i="12"/>
  <c r="T139" i="12"/>
  <c r="AA142" i="5"/>
  <c r="AB142" i="5"/>
  <c r="C142" i="12"/>
  <c r="M142" i="12"/>
  <c r="O142" i="12"/>
  <c r="AO142" i="12"/>
  <c r="G144" i="12"/>
  <c r="X144" i="5"/>
  <c r="N141" i="12"/>
  <c r="Y141" i="12"/>
  <c r="AJ144" i="6" l="1"/>
  <c r="AE144" i="6"/>
  <c r="AI144" i="6"/>
  <c r="AK144" i="6"/>
  <c r="BF144" i="6"/>
  <c r="AR144" i="6"/>
  <c r="BA144" i="6"/>
  <c r="AQ144" i="6"/>
  <c r="AN144" i="6"/>
  <c r="BG144" i="6"/>
  <c r="BE144" i="6"/>
  <c r="BD144" i="6"/>
  <c r="AP144" i="6"/>
  <c r="AD144" i="6"/>
  <c r="AU144" i="6"/>
  <c r="AG144" i="6"/>
  <c r="AV144" i="6"/>
  <c r="BB144" i="6"/>
  <c r="AX144" i="6"/>
  <c r="AO144" i="6"/>
  <c r="AH144" i="6"/>
  <c r="AC144" i="6"/>
  <c r="AB144" i="6"/>
  <c r="AT144" i="6"/>
  <c r="BC144" i="6"/>
  <c r="AM144" i="6"/>
  <c r="AY144" i="6"/>
  <c r="AS144" i="6"/>
  <c r="AZ144" i="6"/>
  <c r="A145" i="6"/>
  <c r="M145" i="6" s="1"/>
  <c r="AC145" i="6" s="1"/>
  <c r="K144" i="12"/>
  <c r="V140" i="12"/>
  <c r="U140" i="12"/>
  <c r="J145" i="12"/>
  <c r="L145" i="12"/>
  <c r="B146" i="6"/>
  <c r="E146" i="5"/>
  <c r="B146" i="5"/>
  <c r="AE146" i="5"/>
  <c r="AD146" i="5"/>
  <c r="J146" i="5"/>
  <c r="K146" i="5"/>
  <c r="W146" i="5"/>
  <c r="H146" i="12" s="1"/>
  <c r="F146" i="5"/>
  <c r="G146" i="5"/>
  <c r="D146" i="5"/>
  <c r="B146" i="12" s="1"/>
  <c r="N146" i="5"/>
  <c r="D146" i="6" s="1"/>
  <c r="H146" i="6" s="1"/>
  <c r="T146" i="5" s="1"/>
  <c r="C147" i="5"/>
  <c r="A146" i="12"/>
  <c r="H146" i="5"/>
  <c r="N142" i="12"/>
  <c r="W141" i="12"/>
  <c r="X141" i="12"/>
  <c r="G145" i="12"/>
  <c r="X145" i="5"/>
  <c r="C143" i="12"/>
  <c r="M143" i="12"/>
  <c r="AO143" i="12"/>
  <c r="O143" i="12"/>
  <c r="E142" i="6"/>
  <c r="D142" i="12"/>
  <c r="L144" i="5"/>
  <c r="AM144" i="5"/>
  <c r="I144" i="12"/>
  <c r="Z144" i="5"/>
  <c r="Y142" i="12"/>
  <c r="AB143" i="5"/>
  <c r="AA143" i="5"/>
  <c r="C143" i="6"/>
  <c r="O143" i="5"/>
  <c r="K145" i="12" l="1"/>
  <c r="L146" i="12"/>
  <c r="J146" i="12"/>
  <c r="A146" i="6"/>
  <c r="M146" i="6" s="1"/>
  <c r="AZ146" i="6" s="1"/>
  <c r="B147" i="5"/>
  <c r="J147" i="5"/>
  <c r="G147" i="5"/>
  <c r="H147" i="5"/>
  <c r="F147" i="5"/>
  <c r="AD147" i="5"/>
  <c r="E147" i="5"/>
  <c r="K147" i="5"/>
  <c r="D147" i="5"/>
  <c r="B147" i="12" s="1"/>
  <c r="C148" i="5"/>
  <c r="A147" i="12"/>
  <c r="W147" i="5"/>
  <c r="H147" i="12" s="1"/>
  <c r="AE147" i="5"/>
  <c r="N147" i="5"/>
  <c r="D147" i="6" s="1"/>
  <c r="H147" i="6" s="1"/>
  <c r="T147" i="5" s="1"/>
  <c r="B147" i="6"/>
  <c r="N143" i="12"/>
  <c r="AF145" i="6"/>
  <c r="AZ145" i="6"/>
  <c r="AX145" i="6"/>
  <c r="BB145" i="6"/>
  <c r="AU145" i="6"/>
  <c r="AK145" i="6"/>
  <c r="AS145" i="6"/>
  <c r="AP145" i="6"/>
  <c r="AQ145" i="6"/>
  <c r="AR145" i="6"/>
  <c r="BD145" i="6"/>
  <c r="BA145" i="6"/>
  <c r="AT145" i="6"/>
  <c r="BC145" i="6"/>
  <c r="AJ145" i="6"/>
  <c r="BF145" i="6"/>
  <c r="BG145" i="6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G146" i="12"/>
  <c r="X146" i="5"/>
  <c r="X142" i="12"/>
  <c r="W142" i="12"/>
  <c r="I145" i="12"/>
  <c r="AM145" i="5"/>
  <c r="L145" i="5"/>
  <c r="Z145" i="5"/>
  <c r="U141" i="12"/>
  <c r="T141" i="12"/>
  <c r="V141" i="12"/>
  <c r="AT146" i="6" l="1"/>
  <c r="A147" i="6"/>
  <c r="M147" i="6" s="1"/>
  <c r="AI147" i="6" s="1"/>
  <c r="BA146" i="6"/>
  <c r="AC146" i="6"/>
  <c r="AD146" i="6"/>
  <c r="AM146" i="6"/>
  <c r="AU146" i="6"/>
  <c r="BG146" i="6"/>
  <c r="AG146" i="6"/>
  <c r="AY146" i="6"/>
  <c r="BC146" i="6"/>
  <c r="AK146" i="6"/>
  <c r="AO146" i="6"/>
  <c r="BB146" i="6"/>
  <c r="AB146" i="6"/>
  <c r="AF146" i="6"/>
  <c r="AJ146" i="6"/>
  <c r="AE146" i="6"/>
  <c r="AH146" i="6"/>
  <c r="BE146" i="6"/>
  <c r="AS146" i="6"/>
  <c r="AR146" i="6"/>
  <c r="AP146" i="6"/>
  <c r="AI146" i="6"/>
  <c r="K146" i="12"/>
  <c r="BF146" i="6"/>
  <c r="AV146" i="6"/>
  <c r="AQ146" i="6"/>
  <c r="AN146" i="6"/>
  <c r="AX146" i="6"/>
  <c r="BD146" i="6"/>
  <c r="J147" i="12"/>
  <c r="L147" i="12"/>
  <c r="B148" i="6"/>
  <c r="E148" i="5"/>
  <c r="F148" i="5"/>
  <c r="B148" i="5"/>
  <c r="C149" i="5"/>
  <c r="G148" i="5"/>
  <c r="K148" i="5"/>
  <c r="H148" i="5"/>
  <c r="A148" i="12"/>
  <c r="J148" i="5"/>
  <c r="D148" i="5"/>
  <c r="B148" i="12" s="1"/>
  <c r="N148" i="5"/>
  <c r="D148" i="6" s="1"/>
  <c r="W148" i="5"/>
  <c r="H148" i="12" s="1"/>
  <c r="AE148" i="5"/>
  <c r="AD148" i="5"/>
  <c r="Y144" i="12"/>
  <c r="X144" i="12" s="1"/>
  <c r="X143" i="12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D144" i="12"/>
  <c r="E144" i="6"/>
  <c r="G147" i="12"/>
  <c r="X147" i="5"/>
  <c r="U143" i="12"/>
  <c r="T143" i="12"/>
  <c r="V143" i="12"/>
  <c r="K147" i="12" l="1"/>
  <c r="A148" i="6"/>
  <c r="M148" i="6" s="1"/>
  <c r="H148" i="6"/>
  <c r="T148" i="5" s="1"/>
  <c r="G148" i="12" s="1"/>
  <c r="L148" i="12"/>
  <c r="J148" i="12"/>
  <c r="A149" i="12"/>
  <c r="F149" i="5"/>
  <c r="H149" i="5"/>
  <c r="AE149" i="5"/>
  <c r="B149" i="6"/>
  <c r="G149" i="5"/>
  <c r="C150" i="5"/>
  <c r="N149" i="5"/>
  <c r="D149" i="6" s="1"/>
  <c r="H149" i="6" s="1"/>
  <c r="T149" i="5" s="1"/>
  <c r="AD149" i="5"/>
  <c r="K149" i="5"/>
  <c r="W149" i="5"/>
  <c r="H149" i="12" s="1"/>
  <c r="J149" i="5"/>
  <c r="E149" i="5"/>
  <c r="D149" i="5"/>
  <c r="B149" i="12" s="1"/>
  <c r="B149" i="5"/>
  <c r="W144" i="12"/>
  <c r="V144" i="12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C146" i="6"/>
  <c r="O146" i="5"/>
  <c r="N145" i="12"/>
  <c r="D145" i="12"/>
  <c r="E145" i="6"/>
  <c r="AA146" i="5"/>
  <c r="AB146" i="5"/>
  <c r="C146" i="12"/>
  <c r="AO146" i="12"/>
  <c r="M146" i="12"/>
  <c r="O146" i="12"/>
  <c r="Y145" i="12"/>
  <c r="A149" i="6" l="1"/>
  <c r="M149" i="6" s="1"/>
  <c r="AH149" i="6" s="1"/>
  <c r="X148" i="5"/>
  <c r="Z148" i="5" s="1"/>
  <c r="AI148" i="6"/>
  <c r="K148" i="12"/>
  <c r="L149" i="12"/>
  <c r="J149" i="12"/>
  <c r="B150" i="6"/>
  <c r="J150" i="5"/>
  <c r="W150" i="5"/>
  <c r="H150" i="12" s="1"/>
  <c r="AE150" i="5"/>
  <c r="F150" i="5"/>
  <c r="G150" i="5"/>
  <c r="H150" i="5"/>
  <c r="E150" i="5"/>
  <c r="B150" i="5"/>
  <c r="AD150" i="5"/>
  <c r="N150" i="5"/>
  <c r="D150" i="6" s="1"/>
  <c r="H150" i="6" s="1"/>
  <c r="T150" i="5" s="1"/>
  <c r="K150" i="5"/>
  <c r="D150" i="5"/>
  <c r="B150" i="12" s="1"/>
  <c r="A150" i="12"/>
  <c r="C151" i="5"/>
  <c r="T144" i="12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E146" i="6"/>
  <c r="D146" i="12"/>
  <c r="AB147" i="5"/>
  <c r="AA147" i="5"/>
  <c r="C147" i="6"/>
  <c r="O147" i="5"/>
  <c r="N146" i="12"/>
  <c r="Y146" i="12"/>
  <c r="G149" i="12"/>
  <c r="X149" i="5"/>
  <c r="C147" i="12"/>
  <c r="M147" i="12"/>
  <c r="O147" i="12"/>
  <c r="AO147" i="12"/>
  <c r="AM148" i="5" l="1"/>
  <c r="L148" i="5"/>
  <c r="O148" i="5" s="1"/>
  <c r="I148" i="12"/>
  <c r="AO148" i="12" s="1"/>
  <c r="A150" i="6"/>
  <c r="M150" i="6" s="1"/>
  <c r="AZ150" i="6" s="1"/>
  <c r="K149" i="12"/>
  <c r="L150" i="12"/>
  <c r="J150" i="12"/>
  <c r="F151" i="5"/>
  <c r="B151" i="5"/>
  <c r="E151" i="5"/>
  <c r="AD151" i="5"/>
  <c r="B151" i="6"/>
  <c r="H151" i="5"/>
  <c r="AE151" i="5"/>
  <c r="A151" i="12"/>
  <c r="G151" i="5"/>
  <c r="N151" i="5"/>
  <c r="D151" i="6" s="1"/>
  <c r="H151" i="6" s="1"/>
  <c r="T151" i="5" s="1"/>
  <c r="J151" i="5"/>
  <c r="K151" i="5"/>
  <c r="C152" i="5"/>
  <c r="D151" i="5"/>
  <c r="B151" i="12" s="1"/>
  <c r="W151" i="5"/>
  <c r="H151" i="12" s="1"/>
  <c r="AD149" i="6"/>
  <c r="AG149" i="6"/>
  <c r="Y147" i="12"/>
  <c r="W147" i="12" s="1"/>
  <c r="L149" i="5"/>
  <c r="AM149" i="5"/>
  <c r="I149" i="12"/>
  <c r="Z149" i="5"/>
  <c r="U145" i="12"/>
  <c r="V145" i="12"/>
  <c r="T145" i="12"/>
  <c r="N147" i="12"/>
  <c r="AA148" i="5"/>
  <c r="AB148" i="5"/>
  <c r="C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M148" i="12" l="1"/>
  <c r="N148" i="12" s="1"/>
  <c r="C148" i="6"/>
  <c r="K150" i="12"/>
  <c r="A151" i="6"/>
  <c r="M151" i="6" s="1"/>
  <c r="BE151" i="6" s="1"/>
  <c r="E152" i="5"/>
  <c r="W152" i="5"/>
  <c r="H152" i="12" s="1"/>
  <c r="N152" i="5"/>
  <c r="D152" i="6" s="1"/>
  <c r="H152" i="6" s="1"/>
  <c r="T152" i="5" s="1"/>
  <c r="A152" i="12"/>
  <c r="D152" i="5"/>
  <c r="B152" i="12" s="1"/>
  <c r="G152" i="5"/>
  <c r="C153" i="5"/>
  <c r="K152" i="5"/>
  <c r="B152" i="5"/>
  <c r="AE152" i="5"/>
  <c r="J152" i="5"/>
  <c r="F152" i="5"/>
  <c r="H152" i="5"/>
  <c r="AD152" i="5"/>
  <c r="B152" i="6"/>
  <c r="J151" i="12"/>
  <c r="L151" i="12"/>
  <c r="AH150" i="6"/>
  <c r="AX150" i="6"/>
  <c r="AU150" i="6"/>
  <c r="AC150" i="6"/>
  <c r="BE150" i="6"/>
  <c r="AG150" i="6"/>
  <c r="BG150" i="6"/>
  <c r="AF150" i="6"/>
  <c r="AD150" i="6"/>
  <c r="AT150" i="6"/>
  <c r="AJ150" i="6"/>
  <c r="BA150" i="6"/>
  <c r="AK150" i="6"/>
  <c r="AS150" i="6"/>
  <c r="BC150" i="6"/>
  <c r="BD150" i="6"/>
  <c r="AM150" i="6"/>
  <c r="AY150" i="6"/>
  <c r="AE150" i="6"/>
  <c r="AB150" i="6"/>
  <c r="AI150" i="6"/>
  <c r="AP150" i="6"/>
  <c r="AN150" i="6"/>
  <c r="BF150" i="6"/>
  <c r="BB150" i="6"/>
  <c r="AV150" i="6"/>
  <c r="AR150" i="6"/>
  <c r="AO150" i="6"/>
  <c r="AQ150" i="6"/>
  <c r="X147" i="12"/>
  <c r="U146" i="12"/>
  <c r="T146" i="12"/>
  <c r="V146" i="12"/>
  <c r="Y148" i="12"/>
  <c r="G151" i="12"/>
  <c r="X151" i="5"/>
  <c r="C149" i="12"/>
  <c r="M149" i="12"/>
  <c r="AO149" i="12"/>
  <c r="O149" i="12"/>
  <c r="C149" i="6"/>
  <c r="O149" i="5"/>
  <c r="L150" i="5"/>
  <c r="AM150" i="5"/>
  <c r="I150" i="12"/>
  <c r="Z150" i="5"/>
  <c r="D148" i="12"/>
  <c r="E148" i="6"/>
  <c r="AB149" i="5"/>
  <c r="AA149" i="5"/>
  <c r="U147" i="12"/>
  <c r="T147" i="12"/>
  <c r="V147" i="12"/>
  <c r="AT151" i="6" l="1"/>
  <c r="AQ151" i="6"/>
  <c r="AM151" i="6"/>
  <c r="BG151" i="6"/>
  <c r="AF151" i="6"/>
  <c r="BB151" i="6"/>
  <c r="AV151" i="6"/>
  <c r="AJ151" i="6"/>
  <c r="AE151" i="6"/>
  <c r="BA151" i="6"/>
  <c r="AC151" i="6"/>
  <c r="AX151" i="6"/>
  <c r="AS151" i="6"/>
  <c r="AP151" i="6"/>
  <c r="BF151" i="6"/>
  <c r="AY151" i="6"/>
  <c r="AD151" i="6"/>
  <c r="AG151" i="6"/>
  <c r="AH151" i="6"/>
  <c r="AN151" i="6"/>
  <c r="AK151" i="6"/>
  <c r="AB151" i="6"/>
  <c r="AU151" i="6"/>
  <c r="AO151" i="6"/>
  <c r="BC151" i="6"/>
  <c r="AI151" i="6"/>
  <c r="AR151" i="6"/>
  <c r="BD151" i="6"/>
  <c r="AZ151" i="6"/>
  <c r="A152" i="6"/>
  <c r="M152" i="6" s="1"/>
  <c r="BE152" i="6" s="1"/>
  <c r="L152" i="12"/>
  <c r="J152" i="12"/>
  <c r="D153" i="5"/>
  <c r="B153" i="12" s="1"/>
  <c r="F153" i="5"/>
  <c r="AE153" i="5"/>
  <c r="A153" i="12"/>
  <c r="N153" i="5"/>
  <c r="D153" i="6" s="1"/>
  <c r="H153" i="6" s="1"/>
  <c r="T153" i="5" s="1"/>
  <c r="K153" i="5"/>
  <c r="J153" i="5"/>
  <c r="B153" i="6"/>
  <c r="B153" i="5"/>
  <c r="AD153" i="5"/>
  <c r="W153" i="5"/>
  <c r="H153" i="12" s="1"/>
  <c r="H153" i="5"/>
  <c r="E153" i="5"/>
  <c r="G153" i="5"/>
  <c r="C154" i="5"/>
  <c r="K151" i="12"/>
  <c r="N149" i="12"/>
  <c r="AA150" i="5"/>
  <c r="AB150" i="5"/>
  <c r="C150" i="12"/>
  <c r="O150" i="12"/>
  <c r="M150" i="12"/>
  <c r="AO150" i="12"/>
  <c r="C150" i="6"/>
  <c r="O150" i="5"/>
  <c r="D149" i="12"/>
  <c r="E149" i="6"/>
  <c r="AM151" i="5"/>
  <c r="I151" i="12"/>
  <c r="L151" i="5"/>
  <c r="Z151" i="5"/>
  <c r="X148" i="12"/>
  <c r="W148" i="12"/>
  <c r="G152" i="12"/>
  <c r="X152" i="5"/>
  <c r="Y149" i="12"/>
  <c r="AR152" i="6" l="1"/>
  <c r="BC152" i="6"/>
  <c r="AG152" i="6"/>
  <c r="AH152" i="6"/>
  <c r="AN152" i="6"/>
  <c r="AM152" i="6"/>
  <c r="AQ152" i="6"/>
  <c r="AI152" i="6"/>
  <c r="AP152" i="6"/>
  <c r="AB152" i="6"/>
  <c r="BB152" i="6"/>
  <c r="AY152" i="6"/>
  <c r="AK152" i="6"/>
  <c r="BA152" i="6"/>
  <c r="AE152" i="6"/>
  <c r="BG152" i="6"/>
  <c r="K152" i="12"/>
  <c r="AD152" i="6"/>
  <c r="AC152" i="6"/>
  <c r="AU152" i="6"/>
  <c r="AO152" i="6"/>
  <c r="BF152" i="6"/>
  <c r="BD152" i="6"/>
  <c r="AV152" i="6"/>
  <c r="AZ152" i="6"/>
  <c r="AT152" i="6"/>
  <c r="AS152" i="6"/>
  <c r="AX152" i="6"/>
  <c r="AJ152" i="6"/>
  <c r="AF152" i="6"/>
  <c r="A153" i="6"/>
  <c r="M153" i="6" s="1"/>
  <c r="AX153" i="6" s="1"/>
  <c r="L153" i="12"/>
  <c r="J153" i="12"/>
  <c r="AD154" i="5"/>
  <c r="A154" i="12"/>
  <c r="K154" i="5"/>
  <c r="E154" i="5"/>
  <c r="G154" i="5"/>
  <c r="AE154" i="5"/>
  <c r="D154" i="5"/>
  <c r="B154" i="12" s="1"/>
  <c r="J154" i="5"/>
  <c r="F154" i="5"/>
  <c r="C155" i="5"/>
  <c r="N154" i="5"/>
  <c r="D154" i="6" s="1"/>
  <c r="H154" i="6" s="1"/>
  <c r="T154" i="5" s="1"/>
  <c r="W154" i="5"/>
  <c r="H154" i="12" s="1"/>
  <c r="B154" i="5"/>
  <c r="B154" i="6"/>
  <c r="H154" i="5"/>
  <c r="Y150" i="12"/>
  <c r="W150" i="12" s="1"/>
  <c r="N150" i="12"/>
  <c r="V148" i="12"/>
  <c r="T148" i="12"/>
  <c r="U148" i="12"/>
  <c r="AA151" i="5"/>
  <c r="AB151" i="5"/>
  <c r="C151" i="12"/>
  <c r="M151" i="12"/>
  <c r="AO151" i="12"/>
  <c r="O151" i="12"/>
  <c r="D150" i="12"/>
  <c r="E150" i="6"/>
  <c r="X149" i="12"/>
  <c r="W149" i="12"/>
  <c r="I152" i="12"/>
  <c r="L152" i="5"/>
  <c r="AM152" i="5"/>
  <c r="Z152" i="5"/>
  <c r="C151" i="6"/>
  <c r="O151" i="5"/>
  <c r="G153" i="12"/>
  <c r="X153" i="5"/>
  <c r="A154" i="6" l="1"/>
  <c r="K153" i="12"/>
  <c r="A155" i="12"/>
  <c r="W155" i="5"/>
  <c r="H155" i="12" s="1"/>
  <c r="C156" i="5"/>
  <c r="B155" i="5"/>
  <c r="N155" i="5"/>
  <c r="D155" i="6" s="1"/>
  <c r="H155" i="6" s="1"/>
  <c r="T155" i="5" s="1"/>
  <c r="B155" i="6"/>
  <c r="H155" i="5"/>
  <c r="AD155" i="5"/>
  <c r="F155" i="5"/>
  <c r="E155" i="5"/>
  <c r="D155" i="5"/>
  <c r="B155" i="12" s="1"/>
  <c r="J155" i="5"/>
  <c r="G155" i="5"/>
  <c r="AE155" i="5"/>
  <c r="K155" i="5"/>
  <c r="L154" i="12"/>
  <c r="J154" i="12"/>
  <c r="X150" i="12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AT153" i="6"/>
  <c r="BA153" i="6"/>
  <c r="AF153" i="6"/>
  <c r="BD153" i="6"/>
  <c r="AS153" i="6"/>
  <c r="AY153" i="6"/>
  <c r="Y151" i="12"/>
  <c r="W151" i="12" s="1"/>
  <c r="L153" i="5"/>
  <c r="AM153" i="5"/>
  <c r="I153" i="12"/>
  <c r="Z153" i="5"/>
  <c r="C152" i="12"/>
  <c r="M152" i="12"/>
  <c r="O152" i="12"/>
  <c r="AO152" i="12"/>
  <c r="V149" i="12"/>
  <c r="T149" i="12"/>
  <c r="U149" i="12"/>
  <c r="D151" i="12"/>
  <c r="E151" i="6"/>
  <c r="AA152" i="5"/>
  <c r="AB152" i="5"/>
  <c r="C152" i="6"/>
  <c r="O152" i="5"/>
  <c r="T150" i="12"/>
  <c r="V150" i="12"/>
  <c r="U150" i="12"/>
  <c r="G154" i="12"/>
  <c r="X154" i="5"/>
  <c r="A155" i="6" l="1"/>
  <c r="M155" i="6" s="1"/>
  <c r="AM155" i="6" s="1"/>
  <c r="M154" i="6"/>
  <c r="AJ154" i="6" s="1"/>
  <c r="K154" i="12"/>
  <c r="H156" i="5"/>
  <c r="E156" i="5"/>
  <c r="W156" i="5"/>
  <c r="H156" i="12" s="1"/>
  <c r="A156" i="12"/>
  <c r="F156" i="5"/>
  <c r="B156" i="5"/>
  <c r="J156" i="5"/>
  <c r="AD156" i="5"/>
  <c r="K156" i="5"/>
  <c r="AE156" i="5"/>
  <c r="D156" i="5"/>
  <c r="B156" i="12" s="1"/>
  <c r="B156" i="6"/>
  <c r="G156" i="5"/>
  <c r="N156" i="5"/>
  <c r="D156" i="6" s="1"/>
  <c r="C157" i="5"/>
  <c r="L155" i="12"/>
  <c r="J155" i="12"/>
  <c r="X151" i="12"/>
  <c r="Y152" i="12"/>
  <c r="X152" i="12" s="1"/>
  <c r="AM154" i="5"/>
  <c r="I154" i="12"/>
  <c r="L154" i="5"/>
  <c r="Z154" i="5"/>
  <c r="G155" i="12"/>
  <c r="X155" i="5"/>
  <c r="D152" i="12"/>
  <c r="E152" i="6"/>
  <c r="T151" i="12"/>
  <c r="U151" i="12"/>
  <c r="V151" i="12"/>
  <c r="N152" i="12"/>
  <c r="AA153" i="5"/>
  <c r="AB153" i="5"/>
  <c r="C153" i="12"/>
  <c r="AO153" i="12"/>
  <c r="M153" i="12"/>
  <c r="O153" i="12"/>
  <c r="C153" i="6"/>
  <c r="O153" i="5"/>
  <c r="AT155" i="6" l="1"/>
  <c r="A156" i="6"/>
  <c r="M156" i="6" s="1"/>
  <c r="AK155" i="6"/>
  <c r="AB155" i="6"/>
  <c r="BF155" i="6"/>
  <c r="AT154" i="6"/>
  <c r="BC154" i="6"/>
  <c r="AP154" i="6"/>
  <c r="AB154" i="6"/>
  <c r="AE154" i="6"/>
  <c r="AG154" i="6"/>
  <c r="AR154" i="6"/>
  <c r="AM154" i="6"/>
  <c r="BF154" i="6"/>
  <c r="AH154" i="6"/>
  <c r="AQ154" i="6"/>
  <c r="AO154" i="6"/>
  <c r="AZ154" i="6"/>
  <c r="AS155" i="6"/>
  <c r="AZ155" i="6"/>
  <c r="AP155" i="6"/>
  <c r="AH155" i="6"/>
  <c r="H156" i="6"/>
  <c r="T156" i="5" s="1"/>
  <c r="G156" i="12" s="1"/>
  <c r="AI154" i="6"/>
  <c r="BD154" i="6"/>
  <c r="BG155" i="6"/>
  <c r="AF155" i="6"/>
  <c r="AE155" i="6"/>
  <c r="AX155" i="6"/>
  <c r="AG155" i="6"/>
  <c r="BE155" i="6"/>
  <c r="BD155" i="6"/>
  <c r="BA155" i="6"/>
  <c r="AJ155" i="6"/>
  <c r="AD155" i="6"/>
  <c r="BB155" i="6"/>
  <c r="AN155" i="6"/>
  <c r="AC155" i="6"/>
  <c r="AQ155" i="6"/>
  <c r="AU155" i="6"/>
  <c r="AR155" i="6"/>
  <c r="AY155" i="6"/>
  <c r="AO155" i="6"/>
  <c r="AI155" i="6"/>
  <c r="BC155" i="6"/>
  <c r="AV155" i="6"/>
  <c r="AU154" i="6"/>
  <c r="AN154" i="6"/>
  <c r="AC154" i="6"/>
  <c r="BE154" i="6"/>
  <c r="BB154" i="6"/>
  <c r="BA154" i="6"/>
  <c r="AK154" i="6"/>
  <c r="AV154" i="6"/>
  <c r="W152" i="12"/>
  <c r="V152" i="12" s="1"/>
  <c r="AY154" i="6"/>
  <c r="AF154" i="6"/>
  <c r="AD154" i="6"/>
  <c r="AS154" i="6"/>
  <c r="AX154" i="6"/>
  <c r="BG154" i="6"/>
  <c r="K155" i="12"/>
  <c r="N157" i="5"/>
  <c r="D157" i="6" s="1"/>
  <c r="H157" i="6" s="1"/>
  <c r="T157" i="5" s="1"/>
  <c r="K157" i="5"/>
  <c r="B157" i="6"/>
  <c r="G157" i="5"/>
  <c r="B157" i="5"/>
  <c r="AD157" i="5"/>
  <c r="F157" i="5"/>
  <c r="D157" i="5"/>
  <c r="B157" i="12" s="1"/>
  <c r="J157" i="5"/>
  <c r="A157" i="12"/>
  <c r="W157" i="5"/>
  <c r="H157" i="12" s="1"/>
  <c r="H157" i="5"/>
  <c r="C158" i="5"/>
  <c r="AE157" i="5"/>
  <c r="E157" i="5"/>
  <c r="J156" i="12"/>
  <c r="L156" i="12"/>
  <c r="N153" i="12"/>
  <c r="D153" i="12"/>
  <c r="E153" i="6"/>
  <c r="Y153" i="12"/>
  <c r="C154" i="6"/>
  <c r="O154" i="5"/>
  <c r="L155" i="5"/>
  <c r="I155" i="12"/>
  <c r="AM155" i="5"/>
  <c r="Z155" i="5"/>
  <c r="AB154" i="5"/>
  <c r="AA154" i="5"/>
  <c r="C154" i="12"/>
  <c r="M154" i="12"/>
  <c r="O154" i="12"/>
  <c r="AO154" i="12"/>
  <c r="T152" i="12" l="1"/>
  <c r="X156" i="5"/>
  <c r="Z156" i="5" s="1"/>
  <c r="AI156" i="6"/>
  <c r="U152" i="12"/>
  <c r="A157" i="6"/>
  <c r="M157" i="6" s="1"/>
  <c r="AV157" i="6" s="1"/>
  <c r="L157" i="12"/>
  <c r="J157" i="12"/>
  <c r="K156" i="12"/>
  <c r="F158" i="5"/>
  <c r="D158" i="5"/>
  <c r="B158" i="12" s="1"/>
  <c r="AD158" i="5"/>
  <c r="K158" i="5"/>
  <c r="B158" i="5"/>
  <c r="W158" i="5"/>
  <c r="H158" i="12" s="1"/>
  <c r="G158" i="5"/>
  <c r="AE158" i="5"/>
  <c r="E158" i="5"/>
  <c r="A158" i="12"/>
  <c r="J158" i="5"/>
  <c r="H158" i="5"/>
  <c r="N158" i="5"/>
  <c r="D158" i="6" s="1"/>
  <c r="H158" i="6" s="1"/>
  <c r="T158" i="5" s="1"/>
  <c r="C159" i="5"/>
  <c r="B158" i="6"/>
  <c r="BE156" i="6"/>
  <c r="AT156" i="6"/>
  <c r="AP156" i="6"/>
  <c r="AR156" i="6"/>
  <c r="BF156" i="6"/>
  <c r="AD156" i="6"/>
  <c r="AB156" i="6"/>
  <c r="AE156" i="6"/>
  <c r="AS156" i="6"/>
  <c r="AN156" i="6"/>
  <c r="BD156" i="6"/>
  <c r="AM156" i="6"/>
  <c r="AZ156" i="6"/>
  <c r="BA156" i="6"/>
  <c r="AU156" i="6"/>
  <c r="AQ156" i="6"/>
  <c r="AC156" i="6"/>
  <c r="BG156" i="6"/>
  <c r="AG156" i="6"/>
  <c r="AH156" i="6"/>
  <c r="AF156" i="6"/>
  <c r="AX156" i="6"/>
  <c r="AY156" i="6"/>
  <c r="AO156" i="6"/>
  <c r="AV156" i="6"/>
  <c r="BB156" i="6"/>
  <c r="AK156" i="6"/>
  <c r="BC156" i="6"/>
  <c r="AJ156" i="6"/>
  <c r="Y154" i="12"/>
  <c r="X154" i="12" s="1"/>
  <c r="C155" i="12"/>
  <c r="O155" i="12"/>
  <c r="M155" i="12"/>
  <c r="AO155" i="12"/>
  <c r="L156" i="5"/>
  <c r="AM156" i="5"/>
  <c r="I156" i="12"/>
  <c r="N154" i="12"/>
  <c r="AB155" i="5"/>
  <c r="AA155" i="5"/>
  <c r="C155" i="6"/>
  <c r="O155" i="5"/>
  <c r="G157" i="12"/>
  <c r="X157" i="5"/>
  <c r="E154" i="6"/>
  <c r="D154" i="12"/>
  <c r="X153" i="12"/>
  <c r="W153" i="12"/>
  <c r="K157" i="12" l="1"/>
  <c r="A158" i="6"/>
  <c r="M158" i="6" s="1"/>
  <c r="N159" i="5"/>
  <c r="D159" i="6" s="1"/>
  <c r="D159" i="5"/>
  <c r="B159" i="12" s="1"/>
  <c r="B159" i="5"/>
  <c r="W159" i="5"/>
  <c r="H159" i="12" s="1"/>
  <c r="E159" i="5"/>
  <c r="C160" i="5"/>
  <c r="B159" i="6"/>
  <c r="AE159" i="5"/>
  <c r="H159" i="5"/>
  <c r="A159" i="12"/>
  <c r="G159" i="5"/>
  <c r="J159" i="5"/>
  <c r="K159" i="5"/>
  <c r="F159" i="5"/>
  <c r="AD159" i="5"/>
  <c r="L158" i="12"/>
  <c r="J158" i="12"/>
  <c r="Y155" i="12"/>
  <c r="W155" i="12" s="1"/>
  <c r="W154" i="12"/>
  <c r="U154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K157" i="6"/>
  <c r="AD157" i="6"/>
  <c r="G158" i="12"/>
  <c r="X158" i="5"/>
  <c r="E155" i="6"/>
  <c r="D155" i="12"/>
  <c r="T153" i="12"/>
  <c r="U153" i="12"/>
  <c r="V153" i="12"/>
  <c r="L157" i="5"/>
  <c r="I157" i="12"/>
  <c r="AM157" i="5"/>
  <c r="Z157" i="5"/>
  <c r="H159" i="6"/>
  <c r="T159" i="5" s="1"/>
  <c r="AA156" i="5"/>
  <c r="AB156" i="5"/>
  <c r="C156" i="12"/>
  <c r="AO156" i="12"/>
  <c r="O156" i="12"/>
  <c r="M156" i="12"/>
  <c r="C156" i="6"/>
  <c r="O156" i="5"/>
  <c r="K158" i="12" l="1"/>
  <c r="A159" i="6"/>
  <c r="M159" i="6" s="1"/>
  <c r="BC159" i="6" s="1"/>
  <c r="J159" i="12"/>
  <c r="L159" i="12"/>
  <c r="B160" i="5"/>
  <c r="C161" i="5"/>
  <c r="H160" i="5"/>
  <c r="F160" i="5"/>
  <c r="W160" i="5"/>
  <c r="H160" i="12" s="1"/>
  <c r="N160" i="5"/>
  <c r="D160" i="6" s="1"/>
  <c r="H160" i="6" s="1"/>
  <c r="T160" i="5" s="1"/>
  <c r="AE160" i="5"/>
  <c r="K160" i="5"/>
  <c r="D160" i="5"/>
  <c r="B160" i="12" s="1"/>
  <c r="AD160" i="5"/>
  <c r="E160" i="5"/>
  <c r="A160" i="12"/>
  <c r="B160" i="6"/>
  <c r="J160" i="5"/>
  <c r="G160" i="5"/>
  <c r="T154" i="12"/>
  <c r="V154" i="12"/>
  <c r="X155" i="12"/>
  <c r="N156" i="12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AM158" i="5"/>
  <c r="I158" i="12"/>
  <c r="L158" i="5"/>
  <c r="Z158" i="5"/>
  <c r="D156" i="12"/>
  <c r="E156" i="6"/>
  <c r="Y156" i="12"/>
  <c r="AF158" i="6"/>
  <c r="AK158" i="6"/>
  <c r="AE158" i="6"/>
  <c r="AC158" i="6"/>
  <c r="AA157" i="5"/>
  <c r="AB157" i="5"/>
  <c r="C157" i="6"/>
  <c r="O157" i="5"/>
  <c r="U155" i="12"/>
  <c r="V155" i="12"/>
  <c r="T155" i="12"/>
  <c r="AK159" i="6" l="1"/>
  <c r="AJ159" i="6"/>
  <c r="AH159" i="6"/>
  <c r="AD159" i="6"/>
  <c r="AI159" i="6"/>
  <c r="AC159" i="6"/>
  <c r="AE159" i="6"/>
  <c r="AN159" i="6"/>
  <c r="AS159" i="6"/>
  <c r="AB159" i="6"/>
  <c r="AO159" i="6"/>
  <c r="AF159" i="6"/>
  <c r="AR159" i="6"/>
  <c r="BB159" i="6"/>
  <c r="BG159" i="6"/>
  <c r="AV159" i="6"/>
  <c r="K159" i="12"/>
  <c r="AZ159" i="6"/>
  <c r="BF159" i="6"/>
  <c r="AG159" i="6"/>
  <c r="AU159" i="6"/>
  <c r="AQ159" i="6"/>
  <c r="BE159" i="6"/>
  <c r="AX159" i="6"/>
  <c r="AT159" i="6"/>
  <c r="BA159" i="6"/>
  <c r="AM159" i="6"/>
  <c r="BD159" i="6"/>
  <c r="AY159" i="6"/>
  <c r="AP159" i="6"/>
  <c r="A160" i="6"/>
  <c r="M160" i="6" s="1"/>
  <c r="BB160" i="6" s="1"/>
  <c r="J160" i="12"/>
  <c r="L160" i="12"/>
  <c r="B161" i="5"/>
  <c r="K161" i="5"/>
  <c r="W161" i="5"/>
  <c r="H161" i="12" s="1"/>
  <c r="D161" i="5"/>
  <c r="B161" i="12" s="1"/>
  <c r="E161" i="5"/>
  <c r="F161" i="5"/>
  <c r="C162" i="5"/>
  <c r="B161" i="6"/>
  <c r="AD161" i="5"/>
  <c r="N161" i="5"/>
  <c r="D161" i="6" s="1"/>
  <c r="H161" i="6" s="1"/>
  <c r="T161" i="5" s="1"/>
  <c r="J161" i="5"/>
  <c r="G161" i="5"/>
  <c r="AE161" i="5"/>
  <c r="A161" i="12"/>
  <c r="H161" i="5"/>
  <c r="Y157" i="12"/>
  <c r="X157" i="12" s="1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A158" i="5"/>
  <c r="AB158" i="5"/>
  <c r="C158" i="12"/>
  <c r="AO158" i="12"/>
  <c r="M158" i="12"/>
  <c r="O158" i="12"/>
  <c r="N157" i="12"/>
  <c r="AB160" i="6" l="1"/>
  <c r="AF160" i="6"/>
  <c r="AC160" i="6"/>
  <c r="AJ160" i="6"/>
  <c r="AI160" i="6"/>
  <c r="AE160" i="6"/>
  <c r="AK160" i="6"/>
  <c r="K160" i="12"/>
  <c r="AH160" i="6"/>
  <c r="AY160" i="6"/>
  <c r="AS160" i="6"/>
  <c r="AP160" i="6"/>
  <c r="A161" i="6"/>
  <c r="M161" i="6" s="1"/>
  <c r="AJ161" i="6" s="1"/>
  <c r="BD160" i="6"/>
  <c r="AQ160" i="6"/>
  <c r="BG160" i="6"/>
  <c r="BF160" i="6"/>
  <c r="AR160" i="6"/>
  <c r="AG160" i="6"/>
  <c r="AZ160" i="6"/>
  <c r="AM160" i="6"/>
  <c r="AT160" i="6"/>
  <c r="AV160" i="6"/>
  <c r="AU160" i="6"/>
  <c r="AN160" i="6"/>
  <c r="AO160" i="6"/>
  <c r="BA160" i="6"/>
  <c r="AD160" i="6"/>
  <c r="BE160" i="6"/>
  <c r="BC160" i="6"/>
  <c r="AX160" i="6"/>
  <c r="C163" i="5"/>
  <c r="E162" i="5"/>
  <c r="AE162" i="5"/>
  <c r="B162" i="6"/>
  <c r="D162" i="5"/>
  <c r="B162" i="12" s="1"/>
  <c r="B162" i="5"/>
  <c r="N162" i="5"/>
  <c r="D162" i="6" s="1"/>
  <c r="H162" i="6" s="1"/>
  <c r="T162" i="5" s="1"/>
  <c r="AD162" i="5"/>
  <c r="F162" i="5"/>
  <c r="G162" i="5"/>
  <c r="J162" i="5"/>
  <c r="K162" i="5"/>
  <c r="H162" i="5"/>
  <c r="W162" i="5"/>
  <c r="H162" i="12" s="1"/>
  <c r="A162" i="12"/>
  <c r="L161" i="12"/>
  <c r="J161" i="12"/>
  <c r="W157" i="12"/>
  <c r="V157" i="12" s="1"/>
  <c r="N158" i="12"/>
  <c r="Y158" i="12"/>
  <c r="C159" i="6"/>
  <c r="O159" i="5"/>
  <c r="T156" i="12"/>
  <c r="U156" i="12"/>
  <c r="V156" i="12"/>
  <c r="G161" i="12"/>
  <c r="X161" i="5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K161" i="12" l="1"/>
  <c r="A162" i="6"/>
  <c r="M162" i="6" s="1"/>
  <c r="AQ162" i="6" s="1"/>
  <c r="L162" i="12"/>
  <c r="J162" i="12"/>
  <c r="F163" i="5"/>
  <c r="B163" i="6"/>
  <c r="K163" i="5"/>
  <c r="D163" i="5"/>
  <c r="B163" i="12" s="1"/>
  <c r="H163" i="5"/>
  <c r="G163" i="5"/>
  <c r="C164" i="5"/>
  <c r="AE163" i="5"/>
  <c r="AD163" i="5"/>
  <c r="E163" i="5"/>
  <c r="J163" i="5"/>
  <c r="N163" i="5"/>
  <c r="D163" i="6" s="1"/>
  <c r="H163" i="6" s="1"/>
  <c r="T163" i="5" s="1"/>
  <c r="A163" i="12"/>
  <c r="W163" i="5"/>
  <c r="H163" i="12" s="1"/>
  <c r="B163" i="5"/>
  <c r="U157" i="12"/>
  <c r="T157" i="12"/>
  <c r="Y159" i="12"/>
  <c r="W159" i="12" s="1"/>
  <c r="AU161" i="6"/>
  <c r="AM161" i="6"/>
  <c r="AR161" i="6"/>
  <c r="AV161" i="6"/>
  <c r="AK161" i="6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C160" i="12"/>
  <c r="M160" i="12"/>
  <c r="O160" i="12"/>
  <c r="AO160" i="12"/>
  <c r="C160" i="6"/>
  <c r="O160" i="5"/>
  <c r="N159" i="12"/>
  <c r="G162" i="12"/>
  <c r="X162" i="5"/>
  <c r="D159" i="12"/>
  <c r="E159" i="6"/>
  <c r="W158" i="12"/>
  <c r="X158" i="12"/>
  <c r="A163" i="6" l="1"/>
  <c r="M163" i="6" s="1"/>
  <c r="AF163" i="6" s="1"/>
  <c r="K162" i="12"/>
  <c r="J163" i="12"/>
  <c r="L163" i="12"/>
  <c r="D164" i="5"/>
  <c r="B164" i="12" s="1"/>
  <c r="N164" i="5"/>
  <c r="D164" i="6" s="1"/>
  <c r="H164" i="6" s="1"/>
  <c r="T164" i="5" s="1"/>
  <c r="B164" i="6"/>
  <c r="AE164" i="5"/>
  <c r="K164" i="5"/>
  <c r="G164" i="5"/>
  <c r="AD164" i="5"/>
  <c r="H164" i="5"/>
  <c r="E164" i="5"/>
  <c r="C165" i="5"/>
  <c r="J164" i="5"/>
  <c r="A164" i="12"/>
  <c r="W164" i="5"/>
  <c r="H164" i="12" s="1"/>
  <c r="B164" i="5"/>
  <c r="F164" i="5"/>
  <c r="BD162" i="6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U158" i="12"/>
  <c r="V158" i="12"/>
  <c r="T158" i="12"/>
  <c r="V159" i="12"/>
  <c r="T159" i="12"/>
  <c r="U159" i="12"/>
  <c r="E160" i="6"/>
  <c r="D160" i="12"/>
  <c r="G163" i="12"/>
  <c r="X163" i="5"/>
  <c r="AA161" i="5"/>
  <c r="AB161" i="5"/>
  <c r="C161" i="12"/>
  <c r="AO161" i="12"/>
  <c r="M161" i="12"/>
  <c r="O161" i="12"/>
  <c r="AM162" i="5"/>
  <c r="I162" i="12"/>
  <c r="L162" i="5"/>
  <c r="Z162" i="5"/>
  <c r="N160" i="12"/>
  <c r="C161" i="6"/>
  <c r="O161" i="5"/>
  <c r="K163" i="12" l="1"/>
  <c r="A164" i="6"/>
  <c r="M164" i="6" s="1"/>
  <c r="AR164" i="6" s="1"/>
  <c r="B165" i="6"/>
  <c r="H165" i="5"/>
  <c r="AE165" i="5"/>
  <c r="D165" i="5"/>
  <c r="B165" i="12" s="1"/>
  <c r="F165" i="5"/>
  <c r="G165" i="5"/>
  <c r="AD165" i="5"/>
  <c r="K165" i="5"/>
  <c r="B165" i="5"/>
  <c r="N165" i="5"/>
  <c r="D165" i="6" s="1"/>
  <c r="H165" i="6" s="1"/>
  <c r="T165" i="5" s="1"/>
  <c r="C166" i="5"/>
  <c r="W165" i="5"/>
  <c r="H165" i="12" s="1"/>
  <c r="E165" i="5"/>
  <c r="J165" i="5"/>
  <c r="A165" i="12"/>
  <c r="J164" i="12"/>
  <c r="L164" i="12"/>
  <c r="W160" i="12"/>
  <c r="T160" i="12" s="1"/>
  <c r="AH163" i="6"/>
  <c r="AI163" i="6"/>
  <c r="AG163" i="6"/>
  <c r="AK163" i="6"/>
  <c r="N161" i="12"/>
  <c r="D161" i="12"/>
  <c r="E161" i="6"/>
  <c r="AA162" i="5"/>
  <c r="AB162" i="5"/>
  <c r="C162" i="12"/>
  <c r="O162" i="12"/>
  <c r="AO162" i="12"/>
  <c r="M162" i="12"/>
  <c r="Y161" i="12"/>
  <c r="C162" i="6"/>
  <c r="O162" i="5"/>
  <c r="G164" i="12"/>
  <c r="X164" i="5"/>
  <c r="I163" i="12"/>
  <c r="L163" i="5"/>
  <c r="AM163" i="5"/>
  <c r="Z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165" i="6" l="1"/>
  <c r="M165" i="6" s="1"/>
  <c r="AM165" i="6" s="1"/>
  <c r="J165" i="12"/>
  <c r="L165" i="12"/>
  <c r="B166" i="5"/>
  <c r="A166" i="12"/>
  <c r="C167" i="5"/>
  <c r="AE166" i="5"/>
  <c r="B166" i="6"/>
  <c r="H166" i="5"/>
  <c r="F166" i="5"/>
  <c r="J166" i="5"/>
  <c r="AD166" i="5"/>
  <c r="E166" i="5"/>
  <c r="D166" i="5"/>
  <c r="B166" i="12" s="1"/>
  <c r="W166" i="5"/>
  <c r="H166" i="12" s="1"/>
  <c r="K166" i="5"/>
  <c r="N166" i="5"/>
  <c r="D166" i="6" s="1"/>
  <c r="G166" i="5"/>
  <c r="K164" i="12"/>
  <c r="U160" i="12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Y162" i="12"/>
  <c r="X162" i="12" s="1"/>
  <c r="C163" i="6"/>
  <c r="O163" i="5"/>
  <c r="AM164" i="5"/>
  <c r="I164" i="12"/>
  <c r="L164" i="5"/>
  <c r="Z164" i="5"/>
  <c r="W161" i="12"/>
  <c r="X161" i="12"/>
  <c r="G165" i="12"/>
  <c r="X165" i="5"/>
  <c r="AA163" i="5"/>
  <c r="AB163" i="5"/>
  <c r="C163" i="12"/>
  <c r="M163" i="12"/>
  <c r="AO163" i="12"/>
  <c r="O163" i="12"/>
  <c r="D162" i="12"/>
  <c r="E162" i="6"/>
  <c r="N162" i="12"/>
  <c r="AB165" i="6" l="1"/>
  <c r="AJ165" i="6"/>
  <c r="AH165" i="6"/>
  <c r="BE165" i="6"/>
  <c r="AC165" i="6"/>
  <c r="BA165" i="6"/>
  <c r="AD165" i="6"/>
  <c r="AV165" i="6"/>
  <c r="AS165" i="6"/>
  <c r="AO165" i="6"/>
  <c r="BG165" i="6"/>
  <c r="AX165" i="6"/>
  <c r="BC165" i="6"/>
  <c r="AG165" i="6"/>
  <c r="BF165" i="6"/>
  <c r="AR165" i="6"/>
  <c r="BD165" i="6"/>
  <c r="AF165" i="6"/>
  <c r="AI165" i="6"/>
  <c r="AK165" i="6"/>
  <c r="AP165" i="6"/>
  <c r="AN165" i="6"/>
  <c r="AT165" i="6"/>
  <c r="BB165" i="6"/>
  <c r="AQ165" i="6"/>
  <c r="AY165" i="6"/>
  <c r="AE165" i="6"/>
  <c r="AZ165" i="6"/>
  <c r="AU165" i="6"/>
  <c r="A166" i="6"/>
  <c r="M166" i="6" s="1"/>
  <c r="AO166" i="6" s="1"/>
  <c r="K165" i="12"/>
  <c r="L166" i="12"/>
  <c r="J166" i="12"/>
  <c r="H166" i="6"/>
  <c r="T166" i="5" s="1"/>
  <c r="G166" i="12" s="1"/>
  <c r="N167" i="5"/>
  <c r="D167" i="6" s="1"/>
  <c r="H167" i="5"/>
  <c r="D167" i="5"/>
  <c r="B167" i="12" s="1"/>
  <c r="E167" i="5"/>
  <c r="F167" i="5"/>
  <c r="J167" i="5"/>
  <c r="G167" i="5"/>
  <c r="A167" i="12"/>
  <c r="K167" i="5"/>
  <c r="AE167" i="5"/>
  <c r="B167" i="6"/>
  <c r="W167" i="5"/>
  <c r="H167" i="12" s="1"/>
  <c r="C168" i="5"/>
  <c r="AD167" i="5"/>
  <c r="B167" i="5"/>
  <c r="N163" i="12"/>
  <c r="W162" i="12"/>
  <c r="V162" i="12" s="1"/>
  <c r="I165" i="12"/>
  <c r="AM165" i="5"/>
  <c r="L165" i="5"/>
  <c r="Z165" i="5"/>
  <c r="T161" i="12"/>
  <c r="V161" i="12"/>
  <c r="U161" i="12"/>
  <c r="AB164" i="5"/>
  <c r="AA164" i="5"/>
  <c r="C164" i="6"/>
  <c r="O164" i="5"/>
  <c r="Y163" i="12"/>
  <c r="C164" i="12"/>
  <c r="O164" i="12"/>
  <c r="AO164" i="12"/>
  <c r="M164" i="12"/>
  <c r="E163" i="6"/>
  <c r="D163" i="12"/>
  <c r="K166" i="12" l="1"/>
  <c r="X166" i="5"/>
  <c r="L166" i="5" s="1"/>
  <c r="A167" i="6"/>
  <c r="M167" i="6" s="1"/>
  <c r="BD167" i="6" s="1"/>
  <c r="G168" i="5"/>
  <c r="B168" i="6"/>
  <c r="D168" i="5"/>
  <c r="B168" i="12" s="1"/>
  <c r="N168" i="5"/>
  <c r="D168" i="6" s="1"/>
  <c r="H168" i="6" s="1"/>
  <c r="T168" i="5" s="1"/>
  <c r="C169" i="5"/>
  <c r="A168" i="12"/>
  <c r="AD168" i="5"/>
  <c r="J168" i="5"/>
  <c r="AE168" i="5"/>
  <c r="W168" i="5"/>
  <c r="H168" i="12" s="1"/>
  <c r="E168" i="5"/>
  <c r="B168" i="5"/>
  <c r="H168" i="5"/>
  <c r="F168" i="5"/>
  <c r="K168" i="5"/>
  <c r="J167" i="12"/>
  <c r="L167" i="12"/>
  <c r="H167" i="6"/>
  <c r="T167" i="5" s="1"/>
  <c r="X167" i="5" s="1"/>
  <c r="U162" i="12"/>
  <c r="AI166" i="6"/>
  <c r="AE166" i="6"/>
  <c r="T162" i="12"/>
  <c r="AB166" i="6"/>
  <c r="AH166" i="6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N164" i="12"/>
  <c r="X163" i="12"/>
  <c r="W163" i="12"/>
  <c r="AA165" i="5"/>
  <c r="AB165" i="5"/>
  <c r="C165" i="6"/>
  <c r="O165" i="5"/>
  <c r="C165" i="12"/>
  <c r="M165" i="12"/>
  <c r="AO165" i="12"/>
  <c r="O165" i="12"/>
  <c r="Y164" i="12"/>
  <c r="D164" i="12"/>
  <c r="E164" i="6"/>
  <c r="Z166" i="5" l="1"/>
  <c r="I166" i="12"/>
  <c r="C166" i="12" s="1"/>
  <c r="AM166" i="5"/>
  <c r="G167" i="12"/>
  <c r="A168" i="6"/>
  <c r="M168" i="6" s="1"/>
  <c r="BE168" i="6" s="1"/>
  <c r="AB167" i="6"/>
  <c r="J168" i="12"/>
  <c r="L168" i="12"/>
  <c r="K167" i="12"/>
  <c r="B169" i="5"/>
  <c r="A169" i="12"/>
  <c r="F169" i="5"/>
  <c r="AE169" i="5"/>
  <c r="W169" i="5"/>
  <c r="H169" i="12" s="1"/>
  <c r="J169" i="5"/>
  <c r="C170" i="5"/>
  <c r="B169" i="6"/>
  <c r="H169" i="5"/>
  <c r="N169" i="5"/>
  <c r="D169" i="6" s="1"/>
  <c r="H169" i="6" s="1"/>
  <c r="T169" i="5" s="1"/>
  <c r="D169" i="5"/>
  <c r="B169" i="12" s="1"/>
  <c r="K169" i="5"/>
  <c r="AD169" i="5"/>
  <c r="E169" i="5"/>
  <c r="G169" i="5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Y165" i="12"/>
  <c r="X165" i="12" s="1"/>
  <c r="AB166" i="5"/>
  <c r="AA166" i="5"/>
  <c r="X164" i="12"/>
  <c r="W164" i="12"/>
  <c r="AM167" i="5"/>
  <c r="I167" i="12"/>
  <c r="L167" i="5"/>
  <c r="Z167" i="5"/>
  <c r="G168" i="12"/>
  <c r="X168" i="5"/>
  <c r="C166" i="6"/>
  <c r="O166" i="5"/>
  <c r="E165" i="6"/>
  <c r="D165" i="12"/>
  <c r="T163" i="12"/>
  <c r="U163" i="12"/>
  <c r="V163" i="12"/>
  <c r="M166" i="12" l="1"/>
  <c r="O166" i="12"/>
  <c r="AO166" i="12"/>
  <c r="AH168" i="6"/>
  <c r="AG168" i="6"/>
  <c r="BD168" i="6"/>
  <c r="AI168" i="6"/>
  <c r="AD168" i="6"/>
  <c r="AE168" i="6"/>
  <c r="AP168" i="6"/>
  <c r="AS168" i="6"/>
  <c r="AZ168" i="6"/>
  <c r="AC168" i="6"/>
  <c r="AK168" i="6"/>
  <c r="BB168" i="6"/>
  <c r="AU168" i="6"/>
  <c r="AF168" i="6"/>
  <c r="AB168" i="6"/>
  <c r="AX168" i="6"/>
  <c r="AT168" i="6"/>
  <c r="BG168" i="6"/>
  <c r="AN168" i="6"/>
  <c r="AY168" i="6"/>
  <c r="AM168" i="6"/>
  <c r="BC168" i="6"/>
  <c r="BA168" i="6"/>
  <c r="AJ168" i="6"/>
  <c r="AO168" i="6"/>
  <c r="AR168" i="6"/>
  <c r="BF168" i="6"/>
  <c r="AQ168" i="6"/>
  <c r="AV168" i="6"/>
  <c r="K168" i="12"/>
  <c r="A169" i="6"/>
  <c r="M169" i="6" s="1"/>
  <c r="BG169" i="6" s="1"/>
  <c r="D170" i="5"/>
  <c r="B170" i="12" s="1"/>
  <c r="AE170" i="5"/>
  <c r="A170" i="12"/>
  <c r="B170" i="5"/>
  <c r="H170" i="5"/>
  <c r="F170" i="5"/>
  <c r="B170" i="6"/>
  <c r="J170" i="5"/>
  <c r="K170" i="5"/>
  <c r="G170" i="5"/>
  <c r="W170" i="5"/>
  <c r="H170" i="12" s="1"/>
  <c r="AD170" i="5"/>
  <c r="N170" i="5"/>
  <c r="D170" i="6" s="1"/>
  <c r="H170" i="6" s="1"/>
  <c r="T170" i="5" s="1"/>
  <c r="E170" i="5"/>
  <c r="C171" i="5"/>
  <c r="L169" i="12"/>
  <c r="J169" i="12"/>
  <c r="W165" i="12"/>
  <c r="T165" i="12" s="1"/>
  <c r="L168" i="5"/>
  <c r="I168" i="12"/>
  <c r="AM168" i="5"/>
  <c r="Z168" i="5"/>
  <c r="AB167" i="5"/>
  <c r="AA167" i="5"/>
  <c r="C167" i="12"/>
  <c r="O167" i="12"/>
  <c r="AO167" i="12"/>
  <c r="M167" i="12"/>
  <c r="T164" i="12"/>
  <c r="U164" i="12"/>
  <c r="V164" i="12"/>
  <c r="G169" i="12"/>
  <c r="X169" i="5"/>
  <c r="Y166" i="12"/>
  <c r="D166" i="12"/>
  <c r="E166" i="6"/>
  <c r="C167" i="6"/>
  <c r="O167" i="5"/>
  <c r="N166" i="12" l="1"/>
  <c r="AI169" i="6"/>
  <c r="AP169" i="6"/>
  <c r="AZ169" i="6"/>
  <c r="AK169" i="6"/>
  <c r="BF169" i="6"/>
  <c r="AF169" i="6"/>
  <c r="AG169" i="6"/>
  <c r="AM169" i="6"/>
  <c r="AU169" i="6"/>
  <c r="AN169" i="6"/>
  <c r="AV169" i="6"/>
  <c r="AY169" i="6"/>
  <c r="AS169" i="6"/>
  <c r="AX169" i="6"/>
  <c r="AJ169" i="6"/>
  <c r="AE169" i="6"/>
  <c r="A170" i="6"/>
  <c r="M170" i="6" s="1"/>
  <c r="BA170" i="6" s="1"/>
  <c r="K169" i="12"/>
  <c r="AD169" i="6"/>
  <c r="AT169" i="6"/>
  <c r="AC169" i="6"/>
  <c r="BE169" i="6"/>
  <c r="AB169" i="6"/>
  <c r="BD169" i="6"/>
  <c r="BA169" i="6"/>
  <c r="AH169" i="6"/>
  <c r="AR169" i="6"/>
  <c r="AO169" i="6"/>
  <c r="AQ169" i="6"/>
  <c r="BB169" i="6"/>
  <c r="BC169" i="6"/>
  <c r="H171" i="5"/>
  <c r="W171" i="5"/>
  <c r="H171" i="12" s="1"/>
  <c r="C172" i="5"/>
  <c r="AD171" i="5"/>
  <c r="AE171" i="5"/>
  <c r="A171" i="12"/>
  <c r="J171" i="5"/>
  <c r="D171" i="5"/>
  <c r="B171" i="12" s="1"/>
  <c r="B171" i="6"/>
  <c r="G171" i="5"/>
  <c r="N171" i="5"/>
  <c r="D171" i="6" s="1"/>
  <c r="H171" i="6" s="1"/>
  <c r="T171" i="5" s="1"/>
  <c r="K171" i="5"/>
  <c r="B171" i="5"/>
  <c r="F171" i="5"/>
  <c r="E171" i="5"/>
  <c r="L170" i="12"/>
  <c r="J170" i="12"/>
  <c r="U165" i="12"/>
  <c r="V165" i="12"/>
  <c r="N167" i="12"/>
  <c r="AA168" i="5"/>
  <c r="AB168" i="5"/>
  <c r="C168" i="12"/>
  <c r="M168" i="12"/>
  <c r="AO168" i="12"/>
  <c r="O168" i="12"/>
  <c r="G170" i="12"/>
  <c r="X170" i="5"/>
  <c r="E167" i="6"/>
  <c r="D167" i="12"/>
  <c r="W166" i="12"/>
  <c r="X166" i="12"/>
  <c r="I169" i="12"/>
  <c r="L169" i="5"/>
  <c r="AM169" i="5"/>
  <c r="Z169" i="5"/>
  <c r="Y167" i="12"/>
  <c r="C168" i="6"/>
  <c r="O168" i="5"/>
  <c r="AI170" i="6" l="1"/>
  <c r="BB170" i="6"/>
  <c r="AM170" i="6"/>
  <c r="AZ170" i="6"/>
  <c r="AY170" i="6"/>
  <c r="AO170" i="6"/>
  <c r="BE170" i="6"/>
  <c r="AE170" i="6"/>
  <c r="BC170" i="6"/>
  <c r="AC170" i="6"/>
  <c r="AH170" i="6"/>
  <c r="BF170" i="6"/>
  <c r="BG170" i="6"/>
  <c r="AP170" i="6"/>
  <c r="AS170" i="6"/>
  <c r="AU170" i="6"/>
  <c r="AG170" i="6"/>
  <c r="AJ170" i="6"/>
  <c r="BD170" i="6"/>
  <c r="AV170" i="6"/>
  <c r="AB170" i="6"/>
  <c r="AK170" i="6"/>
  <c r="AF170" i="6"/>
  <c r="AD170" i="6"/>
  <c r="AX170" i="6"/>
  <c r="AQ170" i="6"/>
  <c r="AT170" i="6"/>
  <c r="AN170" i="6"/>
  <c r="A171" i="6"/>
  <c r="M171" i="6" s="1"/>
  <c r="AZ171" i="6" s="1"/>
  <c r="AR170" i="6"/>
  <c r="K170" i="12"/>
  <c r="B172" i="6"/>
  <c r="AE172" i="5"/>
  <c r="AD172" i="5"/>
  <c r="A172" i="12"/>
  <c r="J172" i="5"/>
  <c r="C173" i="5"/>
  <c r="E172" i="5"/>
  <c r="W172" i="5"/>
  <c r="H172" i="12" s="1"/>
  <c r="D172" i="5"/>
  <c r="B172" i="12" s="1"/>
  <c r="B172" i="5"/>
  <c r="G172" i="5"/>
  <c r="N172" i="5"/>
  <c r="D172" i="6" s="1"/>
  <c r="H172" i="5"/>
  <c r="F172" i="5"/>
  <c r="K172" i="5"/>
  <c r="L171" i="12"/>
  <c r="J171" i="12"/>
  <c r="N168" i="12"/>
  <c r="Y168" i="12"/>
  <c r="X168" i="12" s="1"/>
  <c r="C169" i="6"/>
  <c r="O169" i="5"/>
  <c r="I170" i="12"/>
  <c r="AM170" i="5"/>
  <c r="L170" i="5"/>
  <c r="Z170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G171" i="12"/>
  <c r="X171" i="5"/>
  <c r="AJ171" i="6" l="1"/>
  <c r="AX171" i="6"/>
  <c r="A172" i="6"/>
  <c r="M172" i="6" s="1"/>
  <c r="AM172" i="6" s="1"/>
  <c r="AY171" i="6"/>
  <c r="AF171" i="6"/>
  <c r="AB171" i="6"/>
  <c r="AC171" i="6"/>
  <c r="AP171" i="6"/>
  <c r="BB171" i="6"/>
  <c r="AI171" i="6"/>
  <c r="AE171" i="6"/>
  <c r="AV171" i="6"/>
  <c r="AG171" i="6"/>
  <c r="AK171" i="6"/>
  <c r="AS171" i="6"/>
  <c r="AR171" i="6"/>
  <c r="H172" i="6"/>
  <c r="T172" i="5" s="1"/>
  <c r="G172" i="12" s="1"/>
  <c r="AH171" i="6"/>
  <c r="AO171" i="6"/>
  <c r="BD171" i="6"/>
  <c r="AM171" i="6"/>
  <c r="AU171" i="6"/>
  <c r="AT171" i="6"/>
  <c r="BC171" i="6"/>
  <c r="BF171" i="6"/>
  <c r="BA171" i="6"/>
  <c r="BG171" i="6"/>
  <c r="AN171" i="6"/>
  <c r="AD171" i="6"/>
  <c r="AQ171" i="6"/>
  <c r="BE171" i="6"/>
  <c r="K171" i="12"/>
  <c r="J172" i="12"/>
  <c r="L172" i="12"/>
  <c r="B173" i="5"/>
  <c r="C174" i="5"/>
  <c r="A173" i="12"/>
  <c r="D173" i="5"/>
  <c r="B173" i="12" s="1"/>
  <c r="W173" i="5"/>
  <c r="H173" i="12" s="1"/>
  <c r="G173" i="5"/>
  <c r="B173" i="6"/>
  <c r="H173" i="5"/>
  <c r="AD173" i="5"/>
  <c r="F173" i="5"/>
  <c r="J173" i="5"/>
  <c r="K173" i="5"/>
  <c r="N173" i="5"/>
  <c r="D173" i="6" s="1"/>
  <c r="E173" i="5"/>
  <c r="AE173" i="5"/>
  <c r="W168" i="12"/>
  <c r="U168" i="12" s="1"/>
  <c r="Y169" i="12"/>
  <c r="W169" i="12" s="1"/>
  <c r="AM171" i="5"/>
  <c r="I171" i="12"/>
  <c r="L171" i="5"/>
  <c r="Z171" i="5"/>
  <c r="E169" i="6"/>
  <c r="D169" i="12"/>
  <c r="N169" i="12"/>
  <c r="V167" i="12"/>
  <c r="U167" i="12"/>
  <c r="T167" i="12"/>
  <c r="AB170" i="5"/>
  <c r="AA170" i="5"/>
  <c r="C170" i="6"/>
  <c r="O170" i="5"/>
  <c r="C170" i="12"/>
  <c r="O170" i="12"/>
  <c r="AO170" i="12"/>
  <c r="M170" i="12"/>
  <c r="AR172" i="6" l="1"/>
  <c r="BC172" i="6"/>
  <c r="X172" i="5"/>
  <c r="L172" i="5" s="1"/>
  <c r="AN172" i="6"/>
  <c r="BG172" i="6"/>
  <c r="AS172" i="6"/>
  <c r="AX172" i="6"/>
  <c r="AJ172" i="6"/>
  <c r="BD172" i="6"/>
  <c r="AV172" i="6"/>
  <c r="AZ172" i="6"/>
  <c r="BB172" i="6"/>
  <c r="AT172" i="6"/>
  <c r="AP172" i="6"/>
  <c r="AU172" i="6"/>
  <c r="AI172" i="6"/>
  <c r="AY172" i="6"/>
  <c r="BA172" i="6"/>
  <c r="BF172" i="6"/>
  <c r="AQ172" i="6"/>
  <c r="BE172" i="6"/>
  <c r="AO172" i="6"/>
  <c r="AF172" i="6"/>
  <c r="A173" i="6"/>
  <c r="M173" i="6" s="1"/>
  <c r="AT173" i="6" s="1"/>
  <c r="AC172" i="6"/>
  <c r="AE172" i="6"/>
  <c r="AG172" i="6"/>
  <c r="AD172" i="6"/>
  <c r="AH172" i="6"/>
  <c r="AB172" i="6"/>
  <c r="AK172" i="6"/>
  <c r="K172" i="12"/>
  <c r="J173" i="12"/>
  <c r="L173" i="12"/>
  <c r="H173" i="6"/>
  <c r="T173" i="5" s="1"/>
  <c r="G173" i="12" s="1"/>
  <c r="B174" i="6"/>
  <c r="AD174" i="5"/>
  <c r="D174" i="5"/>
  <c r="B174" i="12" s="1"/>
  <c r="F174" i="5"/>
  <c r="H174" i="5"/>
  <c r="K174" i="5"/>
  <c r="E174" i="5"/>
  <c r="AE174" i="5"/>
  <c r="G174" i="5"/>
  <c r="C175" i="5"/>
  <c r="W174" i="5"/>
  <c r="H174" i="12" s="1"/>
  <c r="J174" i="5"/>
  <c r="A174" i="12"/>
  <c r="N174" i="5"/>
  <c r="D174" i="6" s="1"/>
  <c r="H174" i="6" s="1"/>
  <c r="T174" i="5" s="1"/>
  <c r="B174" i="5"/>
  <c r="T168" i="12"/>
  <c r="V168" i="12"/>
  <c r="X169" i="12"/>
  <c r="AM172" i="5"/>
  <c r="N170" i="12"/>
  <c r="D170" i="12"/>
  <c r="E170" i="6"/>
  <c r="V169" i="12"/>
  <c r="T169" i="12"/>
  <c r="U169" i="12"/>
  <c r="AA171" i="5"/>
  <c r="AB171" i="5"/>
  <c r="C171" i="12"/>
  <c r="M171" i="12"/>
  <c r="AO171" i="12"/>
  <c r="O171" i="12"/>
  <c r="Y170" i="12"/>
  <c r="C171" i="6"/>
  <c r="O171" i="5"/>
  <c r="Z172" i="5" l="1"/>
  <c r="AA172" i="5" s="1"/>
  <c r="I172" i="12"/>
  <c r="AX173" i="6"/>
  <c r="BG173" i="6"/>
  <c r="AR173" i="6"/>
  <c r="AM173" i="6"/>
  <c r="AS173" i="6"/>
  <c r="AU173" i="6"/>
  <c r="AV173" i="6"/>
  <c r="AP173" i="6"/>
  <c r="BE173" i="6"/>
  <c r="AY173" i="6"/>
  <c r="AZ173" i="6"/>
  <c r="BA173" i="6"/>
  <c r="BB173" i="6"/>
  <c r="BF173" i="6"/>
  <c r="AQ173" i="6"/>
  <c r="BC173" i="6"/>
  <c r="AN173" i="6"/>
  <c r="AO173" i="6"/>
  <c r="BD173" i="6"/>
  <c r="K173" i="12"/>
  <c r="AH173" i="6"/>
  <c r="AI173" i="6"/>
  <c r="AF173" i="6"/>
  <c r="AG173" i="6"/>
  <c r="AC173" i="6"/>
  <c r="AE173" i="6"/>
  <c r="AK173" i="6"/>
  <c r="X173" i="5"/>
  <c r="AM173" i="5" s="1"/>
  <c r="AD173" i="6"/>
  <c r="AJ173" i="6"/>
  <c r="AB173" i="6"/>
  <c r="A174" i="6"/>
  <c r="M174" i="6" s="1"/>
  <c r="BD174" i="6" s="1"/>
  <c r="L174" i="12"/>
  <c r="J174" i="12"/>
  <c r="G175" i="5"/>
  <c r="D175" i="5"/>
  <c r="B175" i="12" s="1"/>
  <c r="K175" i="5"/>
  <c r="W175" i="5"/>
  <c r="H175" i="12" s="1"/>
  <c r="A175" i="12"/>
  <c r="C176" i="5"/>
  <c r="AE175" i="5"/>
  <c r="B175" i="5"/>
  <c r="AD175" i="5"/>
  <c r="B175" i="6"/>
  <c r="N175" i="5"/>
  <c r="D175" i="6" s="1"/>
  <c r="H175" i="6" s="1"/>
  <c r="T175" i="5" s="1"/>
  <c r="J175" i="5"/>
  <c r="E175" i="5"/>
  <c r="H175" i="5"/>
  <c r="F175" i="5"/>
  <c r="N171" i="12"/>
  <c r="Y171" i="12"/>
  <c r="W171" i="12" s="1"/>
  <c r="E171" i="6"/>
  <c r="D171" i="12"/>
  <c r="W170" i="12"/>
  <c r="X170" i="12"/>
  <c r="G174" i="12"/>
  <c r="X174" i="5"/>
  <c r="C172" i="6"/>
  <c r="O172" i="5"/>
  <c r="C172" i="12"/>
  <c r="O172" i="12"/>
  <c r="AO172" i="12"/>
  <c r="M172" i="12"/>
  <c r="AB172" i="5" l="1"/>
  <c r="L173" i="5"/>
  <c r="O173" i="5" s="1"/>
  <c r="Z173" i="5"/>
  <c r="AA173" i="5" s="1"/>
  <c r="I173" i="12"/>
  <c r="M173" i="12" s="1"/>
  <c r="K174" i="12"/>
  <c r="A175" i="6"/>
  <c r="M175" i="6" s="1"/>
  <c r="AP175" i="6" s="1"/>
  <c r="AD176" i="5"/>
  <c r="G176" i="5"/>
  <c r="K176" i="5"/>
  <c r="H176" i="5"/>
  <c r="C177" i="5"/>
  <c r="B176" i="6"/>
  <c r="W176" i="5"/>
  <c r="H176" i="12" s="1"/>
  <c r="D176" i="5"/>
  <c r="B176" i="12" s="1"/>
  <c r="B176" i="5"/>
  <c r="J176" i="5"/>
  <c r="N176" i="5"/>
  <c r="D176" i="6" s="1"/>
  <c r="H176" i="6" s="1"/>
  <c r="T176" i="5" s="1"/>
  <c r="A176" i="12"/>
  <c r="F176" i="5"/>
  <c r="E176" i="5"/>
  <c r="AE176" i="5"/>
  <c r="L175" i="12"/>
  <c r="J175" i="12"/>
  <c r="AM174" i="6"/>
  <c r="AS174" i="6"/>
  <c r="AR174" i="6"/>
  <c r="AB174" i="6"/>
  <c r="AY174" i="6"/>
  <c r="AG174" i="6"/>
  <c r="AP174" i="6"/>
  <c r="BA174" i="6"/>
  <c r="AJ174" i="6"/>
  <c r="AQ174" i="6"/>
  <c r="AC174" i="6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L174" i="5"/>
  <c r="AM174" i="5"/>
  <c r="I174" i="12"/>
  <c r="Z174" i="5"/>
  <c r="AO173" i="12"/>
  <c r="O173" i="12"/>
  <c r="V171" i="12"/>
  <c r="T171" i="12"/>
  <c r="U171" i="12"/>
  <c r="G175" i="12"/>
  <c r="X175" i="5"/>
  <c r="N172" i="12"/>
  <c r="E172" i="6"/>
  <c r="D172" i="12"/>
  <c r="AB173" i="5"/>
  <c r="T170" i="12"/>
  <c r="V170" i="12"/>
  <c r="U170" i="12"/>
  <c r="C173" i="6" l="1"/>
  <c r="C173" i="12"/>
  <c r="A176" i="6"/>
  <c r="M176" i="6" s="1"/>
  <c r="K175" i="12"/>
  <c r="L176" i="12"/>
  <c r="J176" i="12"/>
  <c r="A177" i="12"/>
  <c r="B177" i="5"/>
  <c r="D177" i="5"/>
  <c r="B177" i="12" s="1"/>
  <c r="G177" i="5"/>
  <c r="B177" i="6"/>
  <c r="N177" i="5"/>
  <c r="D177" i="6" s="1"/>
  <c r="H177" i="6" s="1"/>
  <c r="T177" i="5" s="1"/>
  <c r="C178" i="5"/>
  <c r="H177" i="5"/>
  <c r="F177" i="5"/>
  <c r="W177" i="5"/>
  <c r="H177" i="12" s="1"/>
  <c r="K177" i="5"/>
  <c r="AE177" i="5"/>
  <c r="J177" i="5"/>
  <c r="AD177" i="5"/>
  <c r="E177" i="5"/>
  <c r="AE175" i="6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Y173" i="12"/>
  <c r="X173" i="12" s="1"/>
  <c r="D173" i="12"/>
  <c r="E173" i="6"/>
  <c r="AB174" i="5"/>
  <c r="AA174" i="5"/>
  <c r="G176" i="12"/>
  <c r="X176" i="5"/>
  <c r="AM175" i="5"/>
  <c r="I175" i="12"/>
  <c r="L175" i="5"/>
  <c r="Z175" i="5"/>
  <c r="N173" i="12"/>
  <c r="C174" i="12"/>
  <c r="M174" i="12"/>
  <c r="AO174" i="12"/>
  <c r="O174" i="12"/>
  <c r="C174" i="6"/>
  <c r="O174" i="5"/>
  <c r="A177" i="6" l="1"/>
  <c r="M177" i="6" s="1"/>
  <c r="AM177" i="6" s="1"/>
  <c r="J177" i="12"/>
  <c r="L177" i="12"/>
  <c r="G178" i="5"/>
  <c r="D178" i="5"/>
  <c r="B178" i="12" s="1"/>
  <c r="E178" i="5"/>
  <c r="F178" i="5"/>
  <c r="B178" i="6"/>
  <c r="H178" i="5"/>
  <c r="K178" i="5"/>
  <c r="N178" i="5"/>
  <c r="D178" i="6" s="1"/>
  <c r="H178" i="6" s="1"/>
  <c r="T178" i="5" s="1"/>
  <c r="J178" i="5"/>
  <c r="W178" i="5"/>
  <c r="H178" i="12" s="1"/>
  <c r="B178" i="5"/>
  <c r="A178" i="12"/>
  <c r="AD178" i="5"/>
  <c r="AE178" i="5"/>
  <c r="C179" i="5"/>
  <c r="K176" i="12"/>
  <c r="N174" i="12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AB175" i="5"/>
  <c r="AA175" i="5"/>
  <c r="C175" i="12"/>
  <c r="M175" i="12"/>
  <c r="O175" i="12"/>
  <c r="AO175" i="12"/>
  <c r="AG176" i="6"/>
  <c r="I176" i="12"/>
  <c r="AM176" i="5"/>
  <c r="L176" i="5"/>
  <c r="Z176" i="5"/>
  <c r="AK176" i="6"/>
  <c r="AE176" i="6"/>
  <c r="E174" i="6"/>
  <c r="D174" i="12"/>
  <c r="G177" i="12"/>
  <c r="X177" i="5"/>
  <c r="C175" i="6"/>
  <c r="O175" i="5"/>
  <c r="AJ176" i="6"/>
  <c r="AB176" i="6"/>
  <c r="A178" i="6" l="1"/>
  <c r="M178" i="6" s="1"/>
  <c r="BC178" i="6" s="1"/>
  <c r="AR177" i="6"/>
  <c r="K177" i="12"/>
  <c r="J178" i="12"/>
  <c r="L178" i="12"/>
  <c r="BE177" i="6"/>
  <c r="C180" i="5"/>
  <c r="B179" i="5"/>
  <c r="A179" i="12"/>
  <c r="D179" i="5"/>
  <c r="B179" i="12" s="1"/>
  <c r="W179" i="5"/>
  <c r="H179" i="12" s="1"/>
  <c r="J179" i="5"/>
  <c r="F179" i="5"/>
  <c r="H179" i="5"/>
  <c r="K179" i="5"/>
  <c r="N179" i="5"/>
  <c r="D179" i="6" s="1"/>
  <c r="H179" i="6" s="1"/>
  <c r="T179" i="5" s="1"/>
  <c r="AD179" i="5"/>
  <c r="B179" i="6"/>
  <c r="G179" i="5"/>
  <c r="AE179" i="5"/>
  <c r="E179" i="5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Y175" i="12"/>
  <c r="X175" i="12" s="1"/>
  <c r="D175" i="12"/>
  <c r="E175" i="6"/>
  <c r="AB176" i="5"/>
  <c r="AA176" i="5"/>
  <c r="C176" i="6"/>
  <c r="O176" i="5"/>
  <c r="C176" i="12"/>
  <c r="M176" i="12"/>
  <c r="O176" i="12"/>
  <c r="AO176" i="12"/>
  <c r="G178" i="12"/>
  <c r="X178" i="5"/>
  <c r="AM177" i="5"/>
  <c r="L177" i="5"/>
  <c r="I177" i="12"/>
  <c r="Z177" i="5"/>
  <c r="N175" i="12"/>
  <c r="AO178" i="6" l="1"/>
  <c r="AH178" i="6"/>
  <c r="AC178" i="6"/>
  <c r="AS178" i="6"/>
  <c r="AJ178" i="6"/>
  <c r="BA178" i="6"/>
  <c r="AM178" i="6"/>
  <c r="AQ178" i="6"/>
  <c r="AI178" i="6"/>
  <c r="BG178" i="6"/>
  <c r="AN178" i="6"/>
  <c r="AV178" i="6"/>
  <c r="AU178" i="6"/>
  <c r="AP178" i="6"/>
  <c r="BF178" i="6"/>
  <c r="AK178" i="6"/>
  <c r="AB178" i="6"/>
  <c r="AX178" i="6"/>
  <c r="AT178" i="6"/>
  <c r="BD178" i="6"/>
  <c r="AY178" i="6"/>
  <c r="BB178" i="6"/>
  <c r="AE178" i="6"/>
  <c r="AF178" i="6"/>
  <c r="AD178" i="6"/>
  <c r="AG178" i="6"/>
  <c r="BE178" i="6"/>
  <c r="AZ178" i="6"/>
  <c r="AR178" i="6"/>
  <c r="A179" i="6"/>
  <c r="M179" i="6" s="1"/>
  <c r="BF179" i="6" s="1"/>
  <c r="K178" i="12"/>
  <c r="K180" i="5"/>
  <c r="N180" i="5"/>
  <c r="D180" i="6" s="1"/>
  <c r="H180" i="6" s="1"/>
  <c r="T180" i="5" s="1"/>
  <c r="AE180" i="5"/>
  <c r="W180" i="5"/>
  <c r="H180" i="12" s="1"/>
  <c r="E180" i="5"/>
  <c r="J180" i="5"/>
  <c r="G180" i="5"/>
  <c r="B180" i="6"/>
  <c r="C181" i="5"/>
  <c r="A180" i="12"/>
  <c r="AD180" i="5"/>
  <c r="F180" i="5"/>
  <c r="H180" i="5"/>
  <c r="D180" i="5"/>
  <c r="B180" i="12" s="1"/>
  <c r="B180" i="5"/>
  <c r="L179" i="12"/>
  <c r="J179" i="12"/>
  <c r="T174" i="12"/>
  <c r="U174" i="12"/>
  <c r="W175" i="12"/>
  <c r="V175" i="12" s="1"/>
  <c r="Y176" i="12"/>
  <c r="X176" i="12" s="1"/>
  <c r="AB177" i="5"/>
  <c r="AA177" i="5"/>
  <c r="C177" i="6"/>
  <c r="O177" i="5"/>
  <c r="E176" i="6"/>
  <c r="D176" i="12"/>
  <c r="C177" i="12"/>
  <c r="AO177" i="12"/>
  <c r="M177" i="12"/>
  <c r="O177" i="12"/>
  <c r="L178" i="5"/>
  <c r="AM178" i="5"/>
  <c r="I178" i="12"/>
  <c r="Z178" i="5"/>
  <c r="G179" i="12"/>
  <c r="X179" i="5"/>
  <c r="N176" i="12"/>
  <c r="AF179" i="6" l="1"/>
  <c r="AE179" i="6"/>
  <c r="AD179" i="6"/>
  <c r="AN179" i="6"/>
  <c r="BA179" i="6"/>
  <c r="BE179" i="6"/>
  <c r="AC179" i="6"/>
  <c r="BD179" i="6"/>
  <c r="AI179" i="6"/>
  <c r="AU179" i="6"/>
  <c r="T175" i="12"/>
  <c r="AQ179" i="6"/>
  <c r="AZ179" i="6"/>
  <c r="AP179" i="6"/>
  <c r="AR179" i="6"/>
  <c r="AK179" i="6"/>
  <c r="AG179" i="6"/>
  <c r="AO179" i="6"/>
  <c r="AJ179" i="6"/>
  <c r="AV179" i="6"/>
  <c r="AH179" i="6"/>
  <c r="BC179" i="6"/>
  <c r="AM179" i="6"/>
  <c r="AT179" i="6"/>
  <c r="BB179" i="6"/>
  <c r="AX179" i="6"/>
  <c r="AY179" i="6"/>
  <c r="AB179" i="6"/>
  <c r="BG179" i="6"/>
  <c r="AS179" i="6"/>
  <c r="K179" i="12"/>
  <c r="A180" i="6"/>
  <c r="M180" i="6" s="1"/>
  <c r="AP180" i="6" s="1"/>
  <c r="L180" i="12"/>
  <c r="J180" i="12"/>
  <c r="G181" i="5"/>
  <c r="E181" i="5"/>
  <c r="J181" i="5"/>
  <c r="W181" i="5"/>
  <c r="H181" i="12" s="1"/>
  <c r="B181" i="5"/>
  <c r="AE181" i="5"/>
  <c r="B181" i="6"/>
  <c r="N181" i="5"/>
  <c r="D181" i="6" s="1"/>
  <c r="H181" i="5"/>
  <c r="A181" i="12"/>
  <c r="F181" i="5"/>
  <c r="D181" i="5"/>
  <c r="B181" i="12" s="1"/>
  <c r="K181" i="5"/>
  <c r="C182" i="5"/>
  <c r="AD181" i="5"/>
  <c r="W176" i="12"/>
  <c r="U176" i="12" s="1"/>
  <c r="U175" i="12"/>
  <c r="AA178" i="5"/>
  <c r="AB178" i="5"/>
  <c r="C178" i="12"/>
  <c r="M178" i="12"/>
  <c r="AO178" i="12"/>
  <c r="O178" i="12"/>
  <c r="C178" i="6"/>
  <c r="O178" i="5"/>
  <c r="G180" i="12"/>
  <c r="X180" i="5"/>
  <c r="I179" i="12"/>
  <c r="L179" i="5"/>
  <c r="AM179" i="5"/>
  <c r="Z179" i="5"/>
  <c r="N177" i="12"/>
  <c r="Y177" i="12"/>
  <c r="D177" i="12"/>
  <c r="E177" i="6"/>
  <c r="BB180" i="6" l="1"/>
  <c r="A181" i="6"/>
  <c r="M181" i="6" s="1"/>
  <c r="AO180" i="6"/>
  <c r="BC180" i="6"/>
  <c r="AQ180" i="6"/>
  <c r="AT180" i="6"/>
  <c r="AB180" i="6"/>
  <c r="AH180" i="6"/>
  <c r="BE180" i="6"/>
  <c r="AU180" i="6"/>
  <c r="AJ180" i="6"/>
  <c r="AE180" i="6"/>
  <c r="AD180" i="6"/>
  <c r="H181" i="6"/>
  <c r="T181" i="5" s="1"/>
  <c r="X181" i="5" s="1"/>
  <c r="AF180" i="6"/>
  <c r="BA180" i="6"/>
  <c r="AM180" i="6"/>
  <c r="AZ180" i="6"/>
  <c r="AG180" i="6"/>
  <c r="BD180" i="6"/>
  <c r="AV180" i="6"/>
  <c r="BF180" i="6"/>
  <c r="AN180" i="6"/>
  <c r="AX180" i="6"/>
  <c r="BG180" i="6"/>
  <c r="AK180" i="6"/>
  <c r="AI180" i="6"/>
  <c r="AS180" i="6"/>
  <c r="K180" i="12"/>
  <c r="AC180" i="6"/>
  <c r="AR180" i="6"/>
  <c r="AY180" i="6"/>
  <c r="A182" i="12"/>
  <c r="H182" i="5"/>
  <c r="AE182" i="5"/>
  <c r="B182" i="5"/>
  <c r="E182" i="5"/>
  <c r="J182" i="5"/>
  <c r="B182" i="6"/>
  <c r="C183" i="5"/>
  <c r="W182" i="5"/>
  <c r="H182" i="12" s="1"/>
  <c r="AD182" i="5"/>
  <c r="G182" i="5"/>
  <c r="F182" i="5"/>
  <c r="N182" i="5"/>
  <c r="D182" i="6" s="1"/>
  <c r="H182" i="6" s="1"/>
  <c r="T182" i="5" s="1"/>
  <c r="K182" i="5"/>
  <c r="D182" i="5"/>
  <c r="B182" i="12" s="1"/>
  <c r="J181" i="12"/>
  <c r="L181" i="12"/>
  <c r="T176" i="12"/>
  <c r="N178" i="12"/>
  <c r="V176" i="12"/>
  <c r="X177" i="12"/>
  <c r="W177" i="12"/>
  <c r="AA179" i="5"/>
  <c r="AB179" i="5"/>
  <c r="C179" i="6"/>
  <c r="O179" i="5"/>
  <c r="D178" i="12"/>
  <c r="E178" i="6"/>
  <c r="C179" i="12"/>
  <c r="AO179" i="12"/>
  <c r="M179" i="12"/>
  <c r="O179" i="12"/>
  <c r="AM180" i="5"/>
  <c r="I180" i="12"/>
  <c r="L180" i="5"/>
  <c r="Z180" i="5"/>
  <c r="Y178" i="12"/>
  <c r="G181" i="12" l="1"/>
  <c r="A182" i="6"/>
  <c r="M182" i="6" s="1"/>
  <c r="AP182" i="6" s="1"/>
  <c r="K183" i="5"/>
  <c r="N183" i="5"/>
  <c r="D183" i="6" s="1"/>
  <c r="H183" i="6" s="1"/>
  <c r="T183" i="5" s="1"/>
  <c r="AE183" i="5"/>
  <c r="D183" i="5"/>
  <c r="B183" i="12" s="1"/>
  <c r="H183" i="5"/>
  <c r="E183" i="5"/>
  <c r="B183" i="5"/>
  <c r="F183" i="5"/>
  <c r="C184" i="5"/>
  <c r="W183" i="5"/>
  <c r="H183" i="12" s="1"/>
  <c r="AD183" i="5"/>
  <c r="B183" i="6"/>
  <c r="G183" i="5"/>
  <c r="J183" i="5"/>
  <c r="A183" i="12"/>
  <c r="K181" i="12"/>
  <c r="J182" i="12"/>
  <c r="L182" i="12"/>
  <c r="C180" i="6"/>
  <c r="O180" i="5"/>
  <c r="D179" i="12"/>
  <c r="E179" i="6"/>
  <c r="V177" i="12"/>
  <c r="T177" i="12"/>
  <c r="U177" i="12"/>
  <c r="X178" i="12"/>
  <c r="W178" i="12"/>
  <c r="AB180" i="5"/>
  <c r="AA180" i="5"/>
  <c r="C180" i="12"/>
  <c r="M180" i="12"/>
  <c r="AO180" i="12"/>
  <c r="O180" i="12"/>
  <c r="L181" i="5"/>
  <c r="I181" i="12"/>
  <c r="AM181" i="5"/>
  <c r="Z181" i="5"/>
  <c r="N179" i="12"/>
  <c r="Y179" i="12"/>
  <c r="G182" i="12"/>
  <c r="X182" i="5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183" i="6" l="1"/>
  <c r="M183" i="6" s="1"/>
  <c r="AE183" i="6" s="1"/>
  <c r="K182" i="12"/>
  <c r="AH182" i="6"/>
  <c r="AX182" i="6"/>
  <c r="BE182" i="6"/>
  <c r="AG182" i="6"/>
  <c r="AM182" i="6"/>
  <c r="AJ182" i="6"/>
  <c r="BC182" i="6"/>
  <c r="BB182" i="6"/>
  <c r="AT182" i="6"/>
  <c r="AV182" i="6"/>
  <c r="BA182" i="6"/>
  <c r="AC182" i="6"/>
  <c r="AY182" i="6"/>
  <c r="AB182" i="6"/>
  <c r="BD182" i="6"/>
  <c r="BF182" i="6"/>
  <c r="AZ182" i="6"/>
  <c r="AN182" i="6"/>
  <c r="BG182" i="6"/>
  <c r="AS182" i="6"/>
  <c r="AI182" i="6"/>
  <c r="AF182" i="6"/>
  <c r="AK182" i="6"/>
  <c r="AO182" i="6"/>
  <c r="AE182" i="6"/>
  <c r="AU182" i="6"/>
  <c r="AQ182" i="6"/>
  <c r="AR182" i="6"/>
  <c r="AD182" i="6"/>
  <c r="J183" i="12"/>
  <c r="L183" i="12"/>
  <c r="N184" i="5"/>
  <c r="D184" i="6" s="1"/>
  <c r="H184" i="6" s="1"/>
  <c r="T184" i="5" s="1"/>
  <c r="D184" i="5"/>
  <c r="B184" i="12" s="1"/>
  <c r="AE184" i="5"/>
  <c r="H184" i="5"/>
  <c r="F184" i="5"/>
  <c r="B184" i="5"/>
  <c r="W184" i="5"/>
  <c r="H184" i="12" s="1"/>
  <c r="K184" i="5"/>
  <c r="AD184" i="5"/>
  <c r="C185" i="5"/>
  <c r="G184" i="5"/>
  <c r="A184" i="12"/>
  <c r="J184" i="5"/>
  <c r="E184" i="5"/>
  <c r="B184" i="6"/>
  <c r="N180" i="12"/>
  <c r="Y180" i="12"/>
  <c r="W180" i="12" s="1"/>
  <c r="AA181" i="5"/>
  <c r="AB181" i="5"/>
  <c r="C181" i="6"/>
  <c r="O181" i="5"/>
  <c r="T178" i="12"/>
  <c r="U178" i="12"/>
  <c r="V178" i="12"/>
  <c r="AM182" i="5"/>
  <c r="L182" i="5"/>
  <c r="I182" i="12"/>
  <c r="Z182" i="5"/>
  <c r="W179" i="12"/>
  <c r="X179" i="12"/>
  <c r="C181" i="12"/>
  <c r="AO181" i="12"/>
  <c r="M181" i="12"/>
  <c r="O181" i="12"/>
  <c r="G183" i="12"/>
  <c r="X183" i="5"/>
  <c r="D180" i="12"/>
  <c r="E180" i="6"/>
  <c r="AR183" i="6" l="1"/>
  <c r="BF183" i="6"/>
  <c r="AS183" i="6"/>
  <c r="BD183" i="6"/>
  <c r="AQ183" i="6"/>
  <c r="AX183" i="6"/>
  <c r="AF183" i="6"/>
  <c r="AZ183" i="6"/>
  <c r="AV183" i="6"/>
  <c r="BE183" i="6"/>
  <c r="BB183" i="6"/>
  <c r="AN183" i="6"/>
  <c r="AK183" i="6"/>
  <c r="AG183" i="6"/>
  <c r="AJ183" i="6"/>
  <c r="BC183" i="6"/>
  <c r="AY183" i="6"/>
  <c r="BG183" i="6"/>
  <c r="AC183" i="6"/>
  <c r="AB183" i="6"/>
  <c r="AD183" i="6"/>
  <c r="AO183" i="6"/>
  <c r="BA183" i="6"/>
  <c r="AI183" i="6"/>
  <c r="AH183" i="6"/>
  <c r="AT183" i="6"/>
  <c r="AU183" i="6"/>
  <c r="AM183" i="6"/>
  <c r="AP183" i="6"/>
  <c r="A184" i="6"/>
  <c r="M184" i="6" s="1"/>
  <c r="AF184" i="6" s="1"/>
  <c r="K183" i="12"/>
  <c r="B185" i="5"/>
  <c r="J185" i="5"/>
  <c r="B185" i="6"/>
  <c r="W185" i="5"/>
  <c r="H185" i="12" s="1"/>
  <c r="AE185" i="5"/>
  <c r="E185" i="5"/>
  <c r="C186" i="5"/>
  <c r="H185" i="5"/>
  <c r="AD185" i="5"/>
  <c r="D185" i="5"/>
  <c r="B185" i="12" s="1"/>
  <c r="K185" i="5"/>
  <c r="A185" i="12"/>
  <c r="F185" i="5"/>
  <c r="G185" i="5"/>
  <c r="N185" i="5"/>
  <c r="D185" i="6" s="1"/>
  <c r="L184" i="12"/>
  <c r="J184" i="12"/>
  <c r="X180" i="12"/>
  <c r="T179" i="12"/>
  <c r="V179" i="12"/>
  <c r="U179" i="12"/>
  <c r="AA182" i="5"/>
  <c r="AB182" i="5"/>
  <c r="C182" i="12"/>
  <c r="AO182" i="12"/>
  <c r="O182" i="12"/>
  <c r="M182" i="12"/>
  <c r="D181" i="12"/>
  <c r="E181" i="6"/>
  <c r="AM183" i="5"/>
  <c r="I183" i="12"/>
  <c r="L183" i="5"/>
  <c r="Z183" i="5"/>
  <c r="N181" i="12"/>
  <c r="Y181" i="12"/>
  <c r="C182" i="6"/>
  <c r="O182" i="5"/>
  <c r="G184" i="12"/>
  <c r="X184" i="5"/>
  <c r="T180" i="12"/>
  <c r="U180" i="12"/>
  <c r="V180" i="12"/>
  <c r="A185" i="6" l="1"/>
  <c r="M185" i="6" s="1"/>
  <c r="AX185" i="6" s="1"/>
  <c r="H185" i="6"/>
  <c r="T185" i="5" s="1"/>
  <c r="G185" i="12" s="1"/>
  <c r="K184" i="12"/>
  <c r="G186" i="5"/>
  <c r="A186" i="12"/>
  <c r="D186" i="5"/>
  <c r="B186" i="12" s="1"/>
  <c r="B186" i="6"/>
  <c r="J186" i="5"/>
  <c r="F186" i="5"/>
  <c r="H186" i="5"/>
  <c r="K186" i="5"/>
  <c r="AD186" i="5"/>
  <c r="AE186" i="5"/>
  <c r="N186" i="5"/>
  <c r="D186" i="6" s="1"/>
  <c r="H186" i="6" s="1"/>
  <c r="T186" i="5" s="1"/>
  <c r="C187" i="5"/>
  <c r="E186" i="5"/>
  <c r="B186" i="5"/>
  <c r="W186" i="5"/>
  <c r="H186" i="12" s="1"/>
  <c r="L185" i="12"/>
  <c r="J185" i="12"/>
  <c r="AK184" i="6"/>
  <c r="N182" i="12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AG184" i="6"/>
  <c r="L184" i="5"/>
  <c r="I184" i="12"/>
  <c r="AM184" i="5"/>
  <c r="Z184" i="5"/>
  <c r="E182" i="6"/>
  <c r="D182" i="12"/>
  <c r="X181" i="12"/>
  <c r="W181" i="12"/>
  <c r="C183" i="6"/>
  <c r="O183" i="5"/>
  <c r="Y182" i="12"/>
  <c r="BB185" i="6" l="1"/>
  <c r="AP185" i="6"/>
  <c r="AZ185" i="6"/>
  <c r="BA185" i="6"/>
  <c r="AT185" i="6"/>
  <c r="BD185" i="6"/>
  <c r="BG185" i="6"/>
  <c r="AU185" i="6"/>
  <c r="AY185" i="6"/>
  <c r="BC185" i="6"/>
  <c r="AO185" i="6"/>
  <c r="AS185" i="6"/>
  <c r="AM185" i="6"/>
  <c r="AN185" i="6"/>
  <c r="AR185" i="6"/>
  <c r="BE185" i="6"/>
  <c r="AV185" i="6"/>
  <c r="BF185" i="6"/>
  <c r="AQ185" i="6"/>
  <c r="AI185" i="6"/>
  <c r="AG185" i="6"/>
  <c r="AH185" i="6"/>
  <c r="AB185" i="6"/>
  <c r="AK185" i="6"/>
  <c r="AC185" i="6"/>
  <c r="X185" i="5"/>
  <c r="L185" i="5" s="1"/>
  <c r="AJ185" i="6"/>
  <c r="AD185" i="6"/>
  <c r="AE185" i="6"/>
  <c r="AF185" i="6"/>
  <c r="K185" i="12"/>
  <c r="A186" i="6"/>
  <c r="M186" i="6" s="1"/>
  <c r="AN186" i="6" s="1"/>
  <c r="B187" i="5"/>
  <c r="E187" i="5"/>
  <c r="AD187" i="5"/>
  <c r="C188" i="5"/>
  <c r="D187" i="5"/>
  <c r="B187" i="12" s="1"/>
  <c r="H187" i="5"/>
  <c r="J187" i="5"/>
  <c r="N187" i="5"/>
  <c r="D187" i="6" s="1"/>
  <c r="H187" i="6" s="1"/>
  <c r="T187" i="5" s="1"/>
  <c r="B187" i="6"/>
  <c r="A187" i="12"/>
  <c r="AE187" i="5"/>
  <c r="K187" i="5"/>
  <c r="F187" i="5"/>
  <c r="W187" i="5"/>
  <c r="H187" i="12" s="1"/>
  <c r="G187" i="5"/>
  <c r="J186" i="12"/>
  <c r="L186" i="12"/>
  <c r="N183" i="12"/>
  <c r="E183" i="6"/>
  <c r="D183" i="12"/>
  <c r="AA184" i="5"/>
  <c r="AB184" i="5"/>
  <c r="C184" i="6"/>
  <c r="O184" i="5"/>
  <c r="X182" i="12"/>
  <c r="W182" i="12"/>
  <c r="G186" i="12"/>
  <c r="X186" i="5"/>
  <c r="V181" i="12"/>
  <c r="U181" i="12"/>
  <c r="T181" i="12"/>
  <c r="C184" i="12"/>
  <c r="O184" i="12"/>
  <c r="M184" i="12"/>
  <c r="AO184" i="12"/>
  <c r="Y183" i="12"/>
  <c r="AM185" i="5" l="1"/>
  <c r="I185" i="12"/>
  <c r="M185" i="12" s="1"/>
  <c r="Z185" i="5"/>
  <c r="AA185" i="5" s="1"/>
  <c r="AC186" i="6"/>
  <c r="AX186" i="6"/>
  <c r="BF186" i="6"/>
  <c r="BA186" i="6"/>
  <c r="AB186" i="6"/>
  <c r="BB186" i="6"/>
  <c r="AH186" i="6"/>
  <c r="AR186" i="6"/>
  <c r="AO186" i="6"/>
  <c r="AY186" i="6"/>
  <c r="AJ186" i="6"/>
  <c r="AS186" i="6"/>
  <c r="BG186" i="6"/>
  <c r="AT186" i="6"/>
  <c r="AG186" i="6"/>
  <c r="AQ186" i="6"/>
  <c r="AM186" i="6"/>
  <c r="AZ186" i="6"/>
  <c r="AK186" i="6"/>
  <c r="BD186" i="6"/>
  <c r="AD186" i="6"/>
  <c r="AF186" i="6"/>
  <c r="BE186" i="6"/>
  <c r="BC186" i="6"/>
  <c r="AP186" i="6"/>
  <c r="AV186" i="6"/>
  <c r="AI186" i="6"/>
  <c r="AU186" i="6"/>
  <c r="AE186" i="6"/>
  <c r="C189" i="5"/>
  <c r="N188" i="5"/>
  <c r="D188" i="6" s="1"/>
  <c r="H188" i="6" s="1"/>
  <c r="T188" i="5" s="1"/>
  <c r="AD188" i="5"/>
  <c r="B188" i="5"/>
  <c r="F188" i="5"/>
  <c r="AE188" i="5"/>
  <c r="B188" i="6"/>
  <c r="W188" i="5"/>
  <c r="H188" i="12" s="1"/>
  <c r="G188" i="5"/>
  <c r="H188" i="5"/>
  <c r="D188" i="5"/>
  <c r="B188" i="12" s="1"/>
  <c r="J188" i="5"/>
  <c r="E188" i="5"/>
  <c r="A188" i="12"/>
  <c r="K188" i="5"/>
  <c r="A187" i="6"/>
  <c r="M187" i="6" s="1"/>
  <c r="AU187" i="6" s="1"/>
  <c r="L187" i="12"/>
  <c r="J187" i="12"/>
  <c r="K186" i="12"/>
  <c r="Y184" i="12"/>
  <c r="W184" i="12" s="1"/>
  <c r="N184" i="12"/>
  <c r="X183" i="12"/>
  <c r="W183" i="12"/>
  <c r="G187" i="12"/>
  <c r="X187" i="5"/>
  <c r="T182" i="12"/>
  <c r="V182" i="12"/>
  <c r="U182" i="12"/>
  <c r="C185" i="6"/>
  <c r="O185" i="5"/>
  <c r="I186" i="12"/>
  <c r="AM186" i="5"/>
  <c r="L186" i="5"/>
  <c r="Z186" i="5"/>
  <c r="E184" i="6"/>
  <c r="D184" i="12"/>
  <c r="O185" i="12" l="1"/>
  <c r="N185" i="12" s="1"/>
  <c r="AO185" i="12"/>
  <c r="C185" i="12"/>
  <c r="AB185" i="5"/>
  <c r="K187" i="12"/>
  <c r="BE187" i="6"/>
  <c r="A188" i="6"/>
  <c r="M188" i="6" s="1"/>
  <c r="AG188" i="6" s="1"/>
  <c r="AZ187" i="6"/>
  <c r="AP187" i="6"/>
  <c r="AS187" i="6"/>
  <c r="AY187" i="6"/>
  <c r="AE187" i="6"/>
  <c r="AO187" i="6"/>
  <c r="AI187" i="6"/>
  <c r="AQ187" i="6"/>
  <c r="BD187" i="6"/>
  <c r="AD187" i="6"/>
  <c r="BA187" i="6"/>
  <c r="BC187" i="6"/>
  <c r="AG187" i="6"/>
  <c r="AJ187" i="6"/>
  <c r="AH187" i="6"/>
  <c r="AK187" i="6"/>
  <c r="AX187" i="6"/>
  <c r="BG187" i="6"/>
  <c r="J188" i="12"/>
  <c r="L188" i="12"/>
  <c r="AM187" i="6"/>
  <c r="AC187" i="6"/>
  <c r="BF187" i="6"/>
  <c r="AF187" i="6"/>
  <c r="AV187" i="6"/>
  <c r="AT187" i="6"/>
  <c r="AN187" i="6"/>
  <c r="AB187" i="6"/>
  <c r="AR187" i="6"/>
  <c r="BB187" i="6"/>
  <c r="W189" i="5"/>
  <c r="H189" i="12" s="1"/>
  <c r="J189" i="5"/>
  <c r="H189" i="5"/>
  <c r="N189" i="5"/>
  <c r="D189" i="6" s="1"/>
  <c r="H189" i="6" s="1"/>
  <c r="T189" i="5" s="1"/>
  <c r="D189" i="5"/>
  <c r="B189" i="12" s="1"/>
  <c r="K189" i="5"/>
  <c r="G189" i="5"/>
  <c r="B189" i="5"/>
  <c r="C190" i="5"/>
  <c r="AE189" i="5"/>
  <c r="A189" i="12"/>
  <c r="AD189" i="5"/>
  <c r="B189" i="6"/>
  <c r="F189" i="5"/>
  <c r="E189" i="5"/>
  <c r="X184" i="12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E185" i="6"/>
  <c r="D185" i="12"/>
  <c r="L187" i="5"/>
  <c r="AM187" i="5"/>
  <c r="I187" i="12"/>
  <c r="Z187" i="5"/>
  <c r="V183" i="12"/>
  <c r="U183" i="12"/>
  <c r="T183" i="12"/>
  <c r="Y185" i="12" l="1"/>
  <c r="X185" i="12" s="1"/>
  <c r="K188" i="12"/>
  <c r="A189" i="6"/>
  <c r="M189" i="6" s="1"/>
  <c r="AY189" i="6" s="1"/>
  <c r="J189" i="12"/>
  <c r="L189" i="12"/>
  <c r="B190" i="5"/>
  <c r="K190" i="5"/>
  <c r="G190" i="5"/>
  <c r="AE190" i="5"/>
  <c r="A190" i="12"/>
  <c r="J190" i="5"/>
  <c r="N190" i="5"/>
  <c r="D190" i="6" s="1"/>
  <c r="H190" i="6" s="1"/>
  <c r="T190" i="5" s="1"/>
  <c r="C191" i="5"/>
  <c r="AD190" i="5"/>
  <c r="B190" i="6"/>
  <c r="E190" i="5"/>
  <c r="D190" i="5"/>
  <c r="B190" i="12" s="1"/>
  <c r="H190" i="5"/>
  <c r="W190" i="5"/>
  <c r="H190" i="12" s="1"/>
  <c r="F190" i="5"/>
  <c r="N186" i="12"/>
  <c r="AI188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AF188" i="6"/>
  <c r="AM188" i="5"/>
  <c r="L188" i="5"/>
  <c r="I188" i="12"/>
  <c r="Z188" i="5"/>
  <c r="AC188" i="6"/>
  <c r="AD188" i="6"/>
  <c r="AJ188" i="6"/>
  <c r="Y186" i="12"/>
  <c r="D186" i="12"/>
  <c r="E186" i="6"/>
  <c r="AE188" i="6"/>
  <c r="AH188" i="6"/>
  <c r="W185" i="12" l="1"/>
  <c r="U185" i="12" s="1"/>
  <c r="AH189" i="6"/>
  <c r="AG189" i="6"/>
  <c r="AS189" i="6"/>
  <c r="A190" i="6"/>
  <c r="M190" i="6" s="1"/>
  <c r="AB189" i="6"/>
  <c r="AM189" i="6"/>
  <c r="AQ189" i="6"/>
  <c r="AD189" i="6"/>
  <c r="BB189" i="6"/>
  <c r="AR189" i="6"/>
  <c r="AE189" i="6"/>
  <c r="BD189" i="6"/>
  <c r="AI189" i="6"/>
  <c r="AO189" i="6"/>
  <c r="AJ189" i="6"/>
  <c r="BF189" i="6"/>
  <c r="AN189" i="6"/>
  <c r="BE189" i="6"/>
  <c r="AF189" i="6"/>
  <c r="AC189" i="6"/>
  <c r="BC189" i="6"/>
  <c r="AP189" i="6"/>
  <c r="BA189" i="6"/>
  <c r="AK189" i="6"/>
  <c r="AX189" i="6"/>
  <c r="AV189" i="6"/>
  <c r="AZ189" i="6"/>
  <c r="AT189" i="6"/>
  <c r="BG189" i="6"/>
  <c r="AU189" i="6"/>
  <c r="K189" i="12"/>
  <c r="L190" i="12"/>
  <c r="J190" i="12"/>
  <c r="H191" i="5"/>
  <c r="C192" i="5"/>
  <c r="B191" i="5"/>
  <c r="K191" i="5"/>
  <c r="A191" i="12"/>
  <c r="F191" i="5"/>
  <c r="G191" i="5"/>
  <c r="AE191" i="5"/>
  <c r="B191" i="6"/>
  <c r="E191" i="5"/>
  <c r="J191" i="5"/>
  <c r="AD191" i="5"/>
  <c r="W191" i="5"/>
  <c r="H191" i="12" s="1"/>
  <c r="D191" i="5"/>
  <c r="B191" i="12" s="1"/>
  <c r="N191" i="5"/>
  <c r="D191" i="6" s="1"/>
  <c r="H191" i="6" s="1"/>
  <c r="T191" i="5" s="1"/>
  <c r="Y187" i="12"/>
  <c r="X187" i="12" s="1"/>
  <c r="C188" i="6"/>
  <c r="O188" i="5"/>
  <c r="D187" i="12"/>
  <c r="E187" i="6"/>
  <c r="AM189" i="5"/>
  <c r="L189" i="5"/>
  <c r="I189" i="12"/>
  <c r="Z189" i="5"/>
  <c r="W186" i="12"/>
  <c r="X186" i="12"/>
  <c r="AB188" i="5"/>
  <c r="AA188" i="5"/>
  <c r="C188" i="12"/>
  <c r="M188" i="12"/>
  <c r="O188" i="12"/>
  <c r="AO188" i="12"/>
  <c r="G190" i="12"/>
  <c r="X190" i="5"/>
  <c r="N187" i="12"/>
  <c r="V185" i="12" l="1"/>
  <c r="T185" i="12"/>
  <c r="A191" i="6"/>
  <c r="M191" i="6" s="1"/>
  <c r="AF191" i="6" s="1"/>
  <c r="K190" i="12"/>
  <c r="J191" i="12"/>
  <c r="L191" i="12"/>
  <c r="N192" i="5"/>
  <c r="D192" i="6" s="1"/>
  <c r="H192" i="6" s="1"/>
  <c r="T192" i="5" s="1"/>
  <c r="W192" i="5"/>
  <c r="H192" i="12" s="1"/>
  <c r="K192" i="5"/>
  <c r="J192" i="5"/>
  <c r="AD192" i="5"/>
  <c r="F192" i="5"/>
  <c r="D192" i="5"/>
  <c r="B192" i="12" s="1"/>
  <c r="AE192" i="5"/>
  <c r="G192" i="5"/>
  <c r="C193" i="5"/>
  <c r="H192" i="5"/>
  <c r="E192" i="5"/>
  <c r="B192" i="6"/>
  <c r="B192" i="5"/>
  <c r="A192" i="12"/>
  <c r="W187" i="12"/>
  <c r="U187" i="12" s="1"/>
  <c r="Y188" i="12"/>
  <c r="W188" i="12" s="1"/>
  <c r="L190" i="5"/>
  <c r="AM190" i="5"/>
  <c r="I190" i="12"/>
  <c r="Z190" i="5"/>
  <c r="G191" i="12"/>
  <c r="X191" i="5"/>
  <c r="U186" i="12"/>
  <c r="V186" i="12"/>
  <c r="T186" i="12"/>
  <c r="AB189" i="5"/>
  <c r="AA189" i="5"/>
  <c r="C189" i="12"/>
  <c r="O189" i="12"/>
  <c r="AO189" i="12"/>
  <c r="M189" i="12"/>
  <c r="D188" i="12"/>
  <c r="E188" i="6"/>
  <c r="N188" i="12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192" i="6" l="1"/>
  <c r="M192" i="6" s="1"/>
  <c r="BC192" i="6" s="1"/>
  <c r="K191" i="12"/>
  <c r="D193" i="5"/>
  <c r="B193" i="12" s="1"/>
  <c r="W193" i="5"/>
  <c r="H193" i="12" s="1"/>
  <c r="C194" i="5"/>
  <c r="B193" i="6"/>
  <c r="H193" i="5"/>
  <c r="N193" i="5"/>
  <c r="D193" i="6" s="1"/>
  <c r="H193" i="6" s="1"/>
  <c r="T193" i="5" s="1"/>
  <c r="A193" i="12"/>
  <c r="G193" i="5"/>
  <c r="AD193" i="5"/>
  <c r="E193" i="5"/>
  <c r="AE193" i="5"/>
  <c r="F193" i="5"/>
  <c r="K193" i="5"/>
  <c r="B193" i="5"/>
  <c r="J193" i="5"/>
  <c r="J192" i="12"/>
  <c r="L192" i="12"/>
  <c r="T187" i="12"/>
  <c r="V187" i="12"/>
  <c r="X188" i="12"/>
  <c r="Y189" i="12"/>
  <c r="W189" i="12" s="1"/>
  <c r="AD191" i="6"/>
  <c r="AC191" i="6"/>
  <c r="AE191" i="6"/>
  <c r="AI191" i="6"/>
  <c r="AG191" i="6"/>
  <c r="E189" i="6"/>
  <c r="D189" i="12"/>
  <c r="I191" i="12"/>
  <c r="AM191" i="5"/>
  <c r="L191" i="5"/>
  <c r="Z191" i="5"/>
  <c r="AA190" i="5"/>
  <c r="AB190" i="5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T188" i="12"/>
  <c r="V188" i="12"/>
  <c r="U188" i="12"/>
  <c r="C190" i="12"/>
  <c r="M190" i="12"/>
  <c r="AO190" i="12"/>
  <c r="O190" i="12"/>
  <c r="C190" i="6"/>
  <c r="O190" i="5"/>
  <c r="A193" i="6" l="1"/>
  <c r="M193" i="6" s="1"/>
  <c r="AE193" i="6" s="1"/>
  <c r="J193" i="12"/>
  <c r="L193" i="12"/>
  <c r="AE194" i="5"/>
  <c r="D194" i="5"/>
  <c r="B194" i="12" s="1"/>
  <c r="H194" i="5"/>
  <c r="B194" i="6"/>
  <c r="E194" i="5"/>
  <c r="W194" i="5"/>
  <c r="H194" i="12" s="1"/>
  <c r="AD194" i="5"/>
  <c r="N194" i="5"/>
  <c r="D194" i="6" s="1"/>
  <c r="H194" i="6" s="1"/>
  <c r="T194" i="5" s="1"/>
  <c r="J194" i="5"/>
  <c r="G194" i="5"/>
  <c r="B194" i="5"/>
  <c r="K194" i="5"/>
  <c r="F194" i="5"/>
  <c r="A194" i="12"/>
  <c r="C195" i="5"/>
  <c r="K192" i="12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L192" i="5"/>
  <c r="AM192" i="5"/>
  <c r="I192" i="12"/>
  <c r="Z192" i="5"/>
  <c r="AA191" i="5"/>
  <c r="AB191" i="5"/>
  <c r="E190" i="6"/>
  <c r="D190" i="12"/>
  <c r="G193" i="12"/>
  <c r="X193" i="5"/>
  <c r="C191" i="6"/>
  <c r="O191" i="5"/>
  <c r="C191" i="12"/>
  <c r="M191" i="12"/>
  <c r="O191" i="12"/>
  <c r="AO191" i="12"/>
  <c r="T189" i="12"/>
  <c r="U189" i="12"/>
  <c r="V189" i="12"/>
  <c r="K193" i="12" l="1"/>
  <c r="A194" i="6"/>
  <c r="M194" i="6" s="1"/>
  <c r="AS194" i="6" s="1"/>
  <c r="F195" i="5"/>
  <c r="N195" i="5"/>
  <c r="D195" i="6" s="1"/>
  <c r="H195" i="6" s="1"/>
  <c r="T195" i="5" s="1"/>
  <c r="G195" i="5"/>
  <c r="J195" i="5"/>
  <c r="AD195" i="5"/>
  <c r="K195" i="5"/>
  <c r="AE195" i="5"/>
  <c r="H195" i="5"/>
  <c r="E195" i="5"/>
  <c r="B195" i="6"/>
  <c r="W195" i="5"/>
  <c r="H195" i="12" s="1"/>
  <c r="D195" i="5"/>
  <c r="B195" i="12" s="1"/>
  <c r="B195" i="5"/>
  <c r="C196" i="5"/>
  <c r="A195" i="12"/>
  <c r="J194" i="12"/>
  <c r="L194" i="12"/>
  <c r="W190" i="12"/>
  <c r="U190" i="12" s="1"/>
  <c r="N191" i="12"/>
  <c r="G194" i="12"/>
  <c r="X194" i="5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Y191" i="12"/>
  <c r="D191" i="12"/>
  <c r="E191" i="6"/>
  <c r="AC193" i="6"/>
  <c r="I193" i="12"/>
  <c r="L193" i="5"/>
  <c r="AM193" i="5"/>
  <c r="Z193" i="5"/>
  <c r="C192" i="12"/>
  <c r="M192" i="12"/>
  <c r="AO192" i="12"/>
  <c r="O192" i="12"/>
  <c r="C192" i="6"/>
  <c r="O192" i="5"/>
  <c r="AC194" i="6" l="1"/>
  <c r="A195" i="6"/>
  <c r="M195" i="6" s="1"/>
  <c r="AF195" i="6" s="1"/>
  <c r="BA194" i="6"/>
  <c r="AI194" i="6"/>
  <c r="AD194" i="6"/>
  <c r="AF194" i="6"/>
  <c r="AE194" i="6"/>
  <c r="AT194" i="6"/>
  <c r="BG194" i="6"/>
  <c r="BE194" i="6"/>
  <c r="AQ194" i="6"/>
  <c r="AP194" i="6"/>
  <c r="AJ194" i="6"/>
  <c r="AZ194" i="6"/>
  <c r="AO194" i="6"/>
  <c r="AM194" i="6"/>
  <c r="AK194" i="6"/>
  <c r="BC194" i="6"/>
  <c r="AV194" i="6"/>
  <c r="AN194" i="6"/>
  <c r="AG194" i="6"/>
  <c r="AB194" i="6"/>
  <c r="BF194" i="6"/>
  <c r="AU194" i="6"/>
  <c r="AY194" i="6"/>
  <c r="AX194" i="6"/>
  <c r="AH194" i="6"/>
  <c r="BB194" i="6"/>
  <c r="BD194" i="6"/>
  <c r="AR194" i="6"/>
  <c r="J195" i="12"/>
  <c r="L195" i="12"/>
  <c r="N196" i="5"/>
  <c r="D196" i="6" s="1"/>
  <c r="H196" i="6" s="1"/>
  <c r="T196" i="5" s="1"/>
  <c r="E196" i="5"/>
  <c r="G196" i="5"/>
  <c r="B196" i="6"/>
  <c r="F196" i="5"/>
  <c r="D196" i="5"/>
  <c r="B196" i="12" s="1"/>
  <c r="B196" i="5"/>
  <c r="AD196" i="5"/>
  <c r="W196" i="5"/>
  <c r="H196" i="12" s="1"/>
  <c r="C197" i="5"/>
  <c r="K196" i="5"/>
  <c r="J196" i="5"/>
  <c r="H196" i="5"/>
  <c r="AE196" i="5"/>
  <c r="A196" i="12"/>
  <c r="K194" i="12"/>
  <c r="V190" i="12"/>
  <c r="T190" i="12"/>
  <c r="N192" i="12"/>
  <c r="E192" i="6"/>
  <c r="D192" i="12"/>
  <c r="C193" i="12"/>
  <c r="AO193" i="12"/>
  <c r="M193" i="12"/>
  <c r="O193" i="12"/>
  <c r="X191" i="12"/>
  <c r="W191" i="12"/>
  <c r="I194" i="12"/>
  <c r="L194" i="5"/>
  <c r="AM194" i="5"/>
  <c r="Z194" i="5"/>
  <c r="Y192" i="12"/>
  <c r="AA193" i="5"/>
  <c r="AB193" i="5"/>
  <c r="C193" i="6"/>
  <c r="O193" i="5"/>
  <c r="G195" i="12"/>
  <c r="X195" i="5"/>
  <c r="A196" i="6" l="1"/>
  <c r="M196" i="6" s="1"/>
  <c r="AQ196" i="6" s="1"/>
  <c r="K195" i="12"/>
  <c r="C198" i="5"/>
  <c r="AD197" i="5"/>
  <c r="W197" i="5"/>
  <c r="H197" i="12" s="1"/>
  <c r="N197" i="5"/>
  <c r="D197" i="6" s="1"/>
  <c r="H197" i="6" s="1"/>
  <c r="T197" i="5" s="1"/>
  <c r="G197" i="5"/>
  <c r="D197" i="5"/>
  <c r="B197" i="12" s="1"/>
  <c r="B197" i="6"/>
  <c r="K197" i="5"/>
  <c r="J197" i="5"/>
  <c r="E197" i="5"/>
  <c r="A197" i="12"/>
  <c r="AE197" i="5"/>
  <c r="H197" i="5"/>
  <c r="B197" i="5"/>
  <c r="F197" i="5"/>
  <c r="J196" i="12"/>
  <c r="L196" i="12"/>
  <c r="BF195" i="6"/>
  <c r="AB195" i="6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AB194" i="5"/>
  <c r="AA194" i="5"/>
  <c r="C194" i="6"/>
  <c r="O194" i="5"/>
  <c r="U191" i="12"/>
  <c r="T191" i="12"/>
  <c r="V191" i="12"/>
  <c r="Y193" i="12"/>
  <c r="L195" i="5"/>
  <c r="AM195" i="5"/>
  <c r="I195" i="12"/>
  <c r="Z195" i="5"/>
  <c r="E193" i="6"/>
  <c r="D193" i="12"/>
  <c r="G196" i="12"/>
  <c r="X196" i="5"/>
  <c r="X192" i="12"/>
  <c r="W192" i="12"/>
  <c r="C194" i="12"/>
  <c r="O194" i="12"/>
  <c r="M194" i="12"/>
  <c r="AO194" i="12"/>
  <c r="A197" i="6" l="1"/>
  <c r="M197" i="6" s="1"/>
  <c r="AF197" i="6" s="1"/>
  <c r="J197" i="12"/>
  <c r="L197" i="12"/>
  <c r="K196" i="12"/>
  <c r="B198" i="6"/>
  <c r="AD198" i="5"/>
  <c r="W198" i="5"/>
  <c r="H198" i="12" s="1"/>
  <c r="C199" i="5"/>
  <c r="G198" i="5"/>
  <c r="F198" i="5"/>
  <c r="N198" i="5"/>
  <c r="D198" i="6" s="1"/>
  <c r="H198" i="6" s="1"/>
  <c r="T198" i="5" s="1"/>
  <c r="J198" i="5"/>
  <c r="B198" i="5"/>
  <c r="AE198" i="5"/>
  <c r="D198" i="5"/>
  <c r="B198" i="12" s="1"/>
  <c r="A198" i="12"/>
  <c r="E198" i="5"/>
  <c r="H198" i="5"/>
  <c r="K198" i="5"/>
  <c r="BD196" i="6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T192" i="12"/>
  <c r="V192" i="12"/>
  <c r="U192" i="12"/>
  <c r="AM196" i="5"/>
  <c r="I196" i="12"/>
  <c r="L196" i="5"/>
  <c r="Z196" i="5"/>
  <c r="W193" i="12"/>
  <c r="X193" i="12"/>
  <c r="D194" i="12"/>
  <c r="E194" i="6"/>
  <c r="AB195" i="5"/>
  <c r="AA195" i="5"/>
  <c r="C195" i="12"/>
  <c r="AO195" i="12"/>
  <c r="M195" i="12"/>
  <c r="O195" i="12"/>
  <c r="C195" i="6"/>
  <c r="O195" i="5"/>
  <c r="G197" i="12"/>
  <c r="X197" i="5"/>
  <c r="A198" i="6" l="1"/>
  <c r="M198" i="6" s="1"/>
  <c r="AP198" i="6" s="1"/>
  <c r="K197" i="12"/>
  <c r="H199" i="5"/>
  <c r="G199" i="5"/>
  <c r="F199" i="5"/>
  <c r="B199" i="5"/>
  <c r="B199" i="6"/>
  <c r="K199" i="5"/>
  <c r="AD199" i="5"/>
  <c r="C200" i="5"/>
  <c r="J199" i="5"/>
  <c r="E199" i="5"/>
  <c r="N199" i="5"/>
  <c r="D199" i="6" s="1"/>
  <c r="H199" i="6" s="1"/>
  <c r="T199" i="5" s="1"/>
  <c r="AE199" i="5"/>
  <c r="A199" i="12"/>
  <c r="D199" i="5"/>
  <c r="B199" i="12" s="1"/>
  <c r="W199" i="5"/>
  <c r="H199" i="12" s="1"/>
  <c r="L198" i="12"/>
  <c r="J198" i="12"/>
  <c r="X194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E195" i="6"/>
  <c r="D195" i="12"/>
  <c r="N195" i="12"/>
  <c r="Y195" i="12"/>
  <c r="G198" i="12"/>
  <c r="X198" i="5"/>
  <c r="C196" i="12"/>
  <c r="AO196" i="12"/>
  <c r="M196" i="12"/>
  <c r="O196" i="12"/>
  <c r="AI198" i="6" l="1"/>
  <c r="AD198" i="6"/>
  <c r="AT198" i="6"/>
  <c r="AE198" i="6"/>
  <c r="AV198" i="6"/>
  <c r="AF198" i="6"/>
  <c r="BB198" i="6"/>
  <c r="AN198" i="6"/>
  <c r="AG198" i="6"/>
  <c r="AR198" i="6"/>
  <c r="BE198" i="6"/>
  <c r="BF198" i="6"/>
  <c r="AS198" i="6"/>
  <c r="AU198" i="6"/>
  <c r="AH198" i="6"/>
  <c r="AJ198" i="6"/>
  <c r="BA198" i="6"/>
  <c r="AB198" i="6"/>
  <c r="BC198" i="6"/>
  <c r="AZ198" i="6"/>
  <c r="BG198" i="6"/>
  <c r="AK198" i="6"/>
  <c r="AX198" i="6"/>
  <c r="AM198" i="6"/>
  <c r="AC198" i="6"/>
  <c r="AQ198" i="6"/>
  <c r="AY198" i="6"/>
  <c r="BD198" i="6"/>
  <c r="AO198" i="6"/>
  <c r="A199" i="6"/>
  <c r="M199" i="6" s="1"/>
  <c r="L199" i="12"/>
  <c r="J199" i="12"/>
  <c r="K198" i="12"/>
  <c r="AE200" i="5"/>
  <c r="N200" i="5"/>
  <c r="D200" i="6" s="1"/>
  <c r="H200" i="6" s="1"/>
  <c r="T200" i="5" s="1"/>
  <c r="C201" i="5"/>
  <c r="G200" i="5"/>
  <c r="A200" i="12"/>
  <c r="H200" i="5"/>
  <c r="W200" i="5"/>
  <c r="H200" i="12" s="1"/>
  <c r="F200" i="5"/>
  <c r="B200" i="5"/>
  <c r="AD200" i="5"/>
  <c r="K200" i="5"/>
  <c r="E200" i="5"/>
  <c r="D200" i="5"/>
  <c r="B200" i="12" s="1"/>
  <c r="J200" i="5"/>
  <c r="B200" i="6"/>
  <c r="L198" i="5"/>
  <c r="I198" i="12"/>
  <c r="AM198" i="5"/>
  <c r="Z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K199" i="12" l="1"/>
  <c r="A200" i="6"/>
  <c r="M200" i="6" s="1"/>
  <c r="AP200" i="6" s="1"/>
  <c r="L200" i="12"/>
  <c r="J200" i="12"/>
  <c r="H201" i="5"/>
  <c r="A201" i="12"/>
  <c r="C202" i="5"/>
  <c r="G201" i="5"/>
  <c r="B201" i="5"/>
  <c r="D201" i="5"/>
  <c r="B201" i="12" s="1"/>
  <c r="J201" i="5"/>
  <c r="K201" i="5"/>
  <c r="E201" i="5"/>
  <c r="N201" i="5"/>
  <c r="D201" i="6" s="1"/>
  <c r="H201" i="6" s="1"/>
  <c r="T201" i="5" s="1"/>
  <c r="AE201" i="5"/>
  <c r="AD201" i="5"/>
  <c r="W201" i="5"/>
  <c r="H201" i="12" s="1"/>
  <c r="F201" i="5"/>
  <c r="B201" i="6"/>
  <c r="Y197" i="12"/>
  <c r="W197" i="12" s="1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G200" i="12"/>
  <c r="X200" i="5"/>
  <c r="AE199" i="6"/>
  <c r="L199" i="5"/>
  <c r="AM199" i="5"/>
  <c r="I199" i="12"/>
  <c r="Z199" i="5"/>
  <c r="D197" i="12"/>
  <c r="E197" i="6"/>
  <c r="N197" i="12"/>
  <c r="T195" i="12"/>
  <c r="V195" i="12"/>
  <c r="U195" i="12"/>
  <c r="C198" i="12"/>
  <c r="O198" i="12"/>
  <c r="AO198" i="12"/>
  <c r="M198" i="12"/>
  <c r="A201" i="6" l="1"/>
  <c r="M201" i="6" s="1"/>
  <c r="AN201" i="6" s="1"/>
  <c r="K200" i="12"/>
  <c r="N202" i="5"/>
  <c r="D202" i="6" s="1"/>
  <c r="H202" i="6" s="1"/>
  <c r="T202" i="5" s="1"/>
  <c r="AD202" i="5"/>
  <c r="C203" i="5"/>
  <c r="J202" i="5"/>
  <c r="A202" i="12"/>
  <c r="AE202" i="5"/>
  <c r="W202" i="5"/>
  <c r="H202" i="12" s="1"/>
  <c r="E202" i="5"/>
  <c r="G202" i="5"/>
  <c r="F202" i="5"/>
  <c r="K202" i="5"/>
  <c r="B202" i="5"/>
  <c r="H202" i="5"/>
  <c r="D202" i="5"/>
  <c r="B202" i="12" s="1"/>
  <c r="B202" i="6"/>
  <c r="L201" i="12"/>
  <c r="J201" i="12"/>
  <c r="AC200" i="6"/>
  <c r="X197" i="12"/>
  <c r="BG200" i="6"/>
  <c r="AK200" i="6"/>
  <c r="BB200" i="6"/>
  <c r="AF200" i="6"/>
  <c r="AT200" i="6"/>
  <c r="AJ200" i="6"/>
  <c r="AO200" i="6"/>
  <c r="AZ200" i="6"/>
  <c r="BC200" i="6"/>
  <c r="Y198" i="12"/>
  <c r="X198" i="12" s="1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C199" i="12"/>
  <c r="O199" i="12"/>
  <c r="AO199" i="12"/>
  <c r="M199" i="12"/>
  <c r="C199" i="6"/>
  <c r="O199" i="5"/>
  <c r="AM200" i="5"/>
  <c r="I200" i="12"/>
  <c r="L200" i="5"/>
  <c r="Z200" i="5"/>
  <c r="U196" i="12"/>
  <c r="T196" i="12"/>
  <c r="V196" i="12"/>
  <c r="N198" i="12"/>
  <c r="AB199" i="5"/>
  <c r="AA199" i="5"/>
  <c r="D198" i="12"/>
  <c r="E198" i="6"/>
  <c r="U197" i="12"/>
  <c r="V197" i="12"/>
  <c r="T197" i="12"/>
  <c r="AK201" i="6" l="1"/>
  <c r="A202" i="6"/>
  <c r="M202" i="6" s="1"/>
  <c r="AQ202" i="6" s="1"/>
  <c r="AI201" i="6"/>
  <c r="AC201" i="6"/>
  <c r="BC201" i="6"/>
  <c r="AF201" i="6"/>
  <c r="AE201" i="6"/>
  <c r="AD201" i="6"/>
  <c r="AZ201" i="6"/>
  <c r="AQ201" i="6"/>
  <c r="AM201" i="6"/>
  <c r="AJ201" i="6"/>
  <c r="AY201" i="6"/>
  <c r="BA201" i="6"/>
  <c r="AU201" i="6"/>
  <c r="AG201" i="6"/>
  <c r="AS201" i="6"/>
  <c r="AP201" i="6"/>
  <c r="AB201" i="6"/>
  <c r="AV201" i="6"/>
  <c r="AT201" i="6"/>
  <c r="BG201" i="6"/>
  <c r="AX201" i="6"/>
  <c r="AR201" i="6"/>
  <c r="BD201" i="6"/>
  <c r="AH201" i="6"/>
  <c r="BB201" i="6"/>
  <c r="BE201" i="6"/>
  <c r="AO201" i="6"/>
  <c r="BF201" i="6"/>
  <c r="K201" i="12"/>
  <c r="A203" i="12"/>
  <c r="AE203" i="5"/>
  <c r="N203" i="5"/>
  <c r="D203" i="6" s="1"/>
  <c r="F203" i="5"/>
  <c r="K203" i="5"/>
  <c r="W203" i="5"/>
  <c r="H203" i="12" s="1"/>
  <c r="AD203" i="5"/>
  <c r="G203" i="5"/>
  <c r="E203" i="5"/>
  <c r="D203" i="5"/>
  <c r="B203" i="12" s="1"/>
  <c r="J203" i="5"/>
  <c r="C204" i="5"/>
  <c r="B203" i="6"/>
  <c r="B203" i="5"/>
  <c r="H203" i="5"/>
  <c r="L202" i="12"/>
  <c r="J202" i="12"/>
  <c r="W198" i="12"/>
  <c r="T198" i="12" s="1"/>
  <c r="Y199" i="12"/>
  <c r="W199" i="12" s="1"/>
  <c r="G202" i="12"/>
  <c r="X202" i="5"/>
  <c r="C200" i="6"/>
  <c r="O200" i="5"/>
  <c r="AM201" i="5"/>
  <c r="I201" i="12"/>
  <c r="L201" i="5"/>
  <c r="Z201" i="5"/>
  <c r="AB200" i="5"/>
  <c r="AA200" i="5"/>
  <c r="C200" i="12"/>
  <c r="M200" i="12"/>
  <c r="AO200" i="12"/>
  <c r="O200" i="12"/>
  <c r="E199" i="6"/>
  <c r="D199" i="12"/>
  <c r="N199" i="12"/>
  <c r="AU202" i="6" l="1"/>
  <c r="AB202" i="6"/>
  <c r="AX202" i="6"/>
  <c r="AD202" i="6"/>
  <c r="AK202" i="6"/>
  <c r="AM202" i="6"/>
  <c r="BG202" i="6"/>
  <c r="BF202" i="6"/>
  <c r="AJ202" i="6"/>
  <c r="BE202" i="6"/>
  <c r="BC202" i="6"/>
  <c r="AS202" i="6"/>
  <c r="AE202" i="6"/>
  <c r="AG202" i="6"/>
  <c r="BA202" i="6"/>
  <c r="AO202" i="6"/>
  <c r="AI202" i="6"/>
  <c r="AY202" i="6"/>
  <c r="AV202" i="6"/>
  <c r="AZ202" i="6"/>
  <c r="AN202" i="6"/>
  <c r="AF202" i="6"/>
  <c r="AC202" i="6"/>
  <c r="AH202" i="6"/>
  <c r="BD202" i="6"/>
  <c r="AT202" i="6"/>
  <c r="AR202" i="6"/>
  <c r="AP202" i="6"/>
  <c r="BB202" i="6"/>
  <c r="A203" i="6"/>
  <c r="M203" i="6" s="1"/>
  <c r="H203" i="6"/>
  <c r="T203" i="5" s="1"/>
  <c r="X203" i="5" s="1"/>
  <c r="K202" i="12"/>
  <c r="W204" i="5"/>
  <c r="H204" i="12" s="1"/>
  <c r="A204" i="12"/>
  <c r="N204" i="5"/>
  <c r="D204" i="6" s="1"/>
  <c r="H204" i="6" s="1"/>
  <c r="T204" i="5" s="1"/>
  <c r="E204" i="5"/>
  <c r="AD204" i="5"/>
  <c r="B204" i="5"/>
  <c r="K204" i="5"/>
  <c r="J204" i="5"/>
  <c r="H204" i="5"/>
  <c r="F204" i="5"/>
  <c r="B204" i="6"/>
  <c r="AE204" i="5"/>
  <c r="C205" i="5"/>
  <c r="G204" i="5"/>
  <c r="D204" i="5"/>
  <c r="B204" i="12" s="1"/>
  <c r="J203" i="12"/>
  <c r="L203" i="12"/>
  <c r="X199" i="12"/>
  <c r="V198" i="12"/>
  <c r="U198" i="12"/>
  <c r="N200" i="12"/>
  <c r="C201" i="6"/>
  <c r="O201" i="5"/>
  <c r="V199" i="12"/>
  <c r="T199" i="12"/>
  <c r="U199" i="12"/>
  <c r="D200" i="12"/>
  <c r="E200" i="6"/>
  <c r="L202" i="5"/>
  <c r="I202" i="12"/>
  <c r="AM202" i="5"/>
  <c r="Z202" i="5"/>
  <c r="Y200" i="12"/>
  <c r="AA201" i="5"/>
  <c r="AB201" i="5"/>
  <c r="C201" i="12"/>
  <c r="M201" i="12"/>
  <c r="AO201" i="12"/>
  <c r="O201" i="12"/>
  <c r="G203" i="12" l="1"/>
  <c r="AE203" i="6"/>
  <c r="A204" i="6"/>
  <c r="M204" i="6" s="1"/>
  <c r="J204" i="12"/>
  <c r="L204" i="12"/>
  <c r="K203" i="12"/>
  <c r="N205" i="5"/>
  <c r="D205" i="6" s="1"/>
  <c r="H205" i="6" s="1"/>
  <c r="T205" i="5" s="1"/>
  <c r="H205" i="5"/>
  <c r="C206" i="5"/>
  <c r="K205" i="5"/>
  <c r="F205" i="5"/>
  <c r="W205" i="5"/>
  <c r="H205" i="12" s="1"/>
  <c r="A205" i="12"/>
  <c r="D205" i="5"/>
  <c r="B205" i="12" s="1"/>
  <c r="AD205" i="5"/>
  <c r="AE205" i="5"/>
  <c r="J205" i="5"/>
  <c r="E205" i="5"/>
  <c r="B205" i="6"/>
  <c r="G205" i="5"/>
  <c r="B205" i="5"/>
  <c r="N201" i="12"/>
  <c r="AG203" i="6"/>
  <c r="Y201" i="12"/>
  <c r="W201" i="12" s="1"/>
  <c r="X200" i="12"/>
  <c r="W200" i="12"/>
  <c r="AA202" i="5"/>
  <c r="AB202" i="5"/>
  <c r="C202" i="12"/>
  <c r="M202" i="12"/>
  <c r="O202" i="12"/>
  <c r="AO202" i="12"/>
  <c r="AM203" i="5"/>
  <c r="I203" i="12"/>
  <c r="L203" i="5"/>
  <c r="Z203" i="5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G204" i="12"/>
  <c r="X204" i="5"/>
  <c r="A205" i="6" l="1"/>
  <c r="M205" i="6" s="1"/>
  <c r="AX205" i="6" s="1"/>
  <c r="K204" i="12"/>
  <c r="L205" i="12"/>
  <c r="J205" i="12"/>
  <c r="H206" i="5"/>
  <c r="A206" i="12"/>
  <c r="B206" i="6"/>
  <c r="N206" i="5"/>
  <c r="D206" i="6" s="1"/>
  <c r="H206" i="6" s="1"/>
  <c r="T206" i="5" s="1"/>
  <c r="B206" i="5"/>
  <c r="F206" i="5"/>
  <c r="J206" i="5"/>
  <c r="E206" i="5"/>
  <c r="K206" i="5"/>
  <c r="G206" i="5"/>
  <c r="C207" i="5"/>
  <c r="D206" i="5"/>
  <c r="B206" i="12" s="1"/>
  <c r="AE206" i="5"/>
  <c r="AD206" i="5"/>
  <c r="W206" i="5"/>
  <c r="H206" i="12" s="1"/>
  <c r="X201" i="12"/>
  <c r="Y202" i="12"/>
  <c r="W202" i="12" s="1"/>
  <c r="L204" i="5"/>
  <c r="I204" i="12"/>
  <c r="AM204" i="5"/>
  <c r="Z204" i="5"/>
  <c r="E202" i="6"/>
  <c r="D202" i="12"/>
  <c r="C203" i="6"/>
  <c r="O203" i="5"/>
  <c r="G205" i="12"/>
  <c r="X205" i="5"/>
  <c r="U200" i="12"/>
  <c r="V200" i="12"/>
  <c r="T200" i="12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N202" i="12"/>
  <c r="V201" i="12"/>
  <c r="U201" i="12"/>
  <c r="T201" i="12"/>
  <c r="AH205" i="6" l="1"/>
  <c r="AI205" i="6"/>
  <c r="AK205" i="6"/>
  <c r="AR205" i="6"/>
  <c r="AE205" i="6"/>
  <c r="AN205" i="6"/>
  <c r="AT205" i="6"/>
  <c r="BA205" i="6"/>
  <c r="AJ205" i="6"/>
  <c r="AZ205" i="6"/>
  <c r="BG205" i="6"/>
  <c r="AV205" i="6"/>
  <c r="AG205" i="6"/>
  <c r="BE205" i="6"/>
  <c r="BD205" i="6"/>
  <c r="AB205" i="6"/>
  <c r="AM205" i="6"/>
  <c r="AP205" i="6"/>
  <c r="AU205" i="6"/>
  <c r="AY205" i="6"/>
  <c r="AQ205" i="6"/>
  <c r="AF205" i="6"/>
  <c r="AD205" i="6"/>
  <c r="BF205" i="6"/>
  <c r="AO205" i="6"/>
  <c r="BB205" i="6"/>
  <c r="AS205" i="6"/>
  <c r="AC205" i="6"/>
  <c r="BC205" i="6"/>
  <c r="A206" i="6"/>
  <c r="M206" i="6" s="1"/>
  <c r="K205" i="12"/>
  <c r="J206" i="12"/>
  <c r="L206" i="12"/>
  <c r="W207" i="5"/>
  <c r="H207" i="12" s="1"/>
  <c r="AE207" i="5"/>
  <c r="AD207" i="5"/>
  <c r="C208" i="5"/>
  <c r="J207" i="5"/>
  <c r="A207" i="12"/>
  <c r="H207" i="5"/>
  <c r="E207" i="5"/>
  <c r="B207" i="6"/>
  <c r="G207" i="5"/>
  <c r="F207" i="5"/>
  <c r="N207" i="5"/>
  <c r="D207" i="6" s="1"/>
  <c r="B207" i="5"/>
  <c r="D207" i="5"/>
  <c r="B207" i="12" s="1"/>
  <c r="K207" i="5"/>
  <c r="X202" i="12"/>
  <c r="Y203" i="12"/>
  <c r="X203" i="12" s="1"/>
  <c r="G206" i="12"/>
  <c r="X206" i="5"/>
  <c r="U202" i="12"/>
  <c r="V202" i="12"/>
  <c r="T202" i="12"/>
  <c r="AB204" i="5"/>
  <c r="AA204" i="5"/>
  <c r="C204" i="6"/>
  <c r="O204" i="5"/>
  <c r="N203" i="12"/>
  <c r="AM205" i="5"/>
  <c r="L205" i="5"/>
  <c r="I205" i="12"/>
  <c r="Z205" i="5"/>
  <c r="D203" i="12"/>
  <c r="E203" i="6"/>
  <c r="C204" i="12"/>
  <c r="O204" i="12"/>
  <c r="M204" i="12"/>
  <c r="AO204" i="12"/>
  <c r="K206" i="12" l="1"/>
  <c r="A207" i="6"/>
  <c r="M207" i="6" s="1"/>
  <c r="AV207" i="6" s="1"/>
  <c r="H207" i="6"/>
  <c r="T207" i="5" s="1"/>
  <c r="X207" i="5" s="1"/>
  <c r="L207" i="12"/>
  <c r="J207" i="12"/>
  <c r="K208" i="5"/>
  <c r="E208" i="5"/>
  <c r="H208" i="5"/>
  <c r="N208" i="5"/>
  <c r="D208" i="6" s="1"/>
  <c r="H208" i="6" s="1"/>
  <c r="T208" i="5" s="1"/>
  <c r="J208" i="5"/>
  <c r="AD208" i="5"/>
  <c r="AE208" i="5"/>
  <c r="A208" i="12"/>
  <c r="W208" i="5"/>
  <c r="H208" i="12" s="1"/>
  <c r="G208" i="5"/>
  <c r="F208" i="5"/>
  <c r="B208" i="6"/>
  <c r="B208" i="5"/>
  <c r="D208" i="5"/>
  <c r="B208" i="12" s="1"/>
  <c r="C209" i="5"/>
  <c r="Y204" i="12"/>
  <c r="W204" i="12" s="1"/>
  <c r="W203" i="12"/>
  <c r="V203" i="12" s="1"/>
  <c r="N204" i="12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M206" i="5"/>
  <c r="L206" i="5"/>
  <c r="I206" i="12"/>
  <c r="Z206" i="5"/>
  <c r="C205" i="12"/>
  <c r="O205" i="12"/>
  <c r="M205" i="12"/>
  <c r="AO205" i="12"/>
  <c r="AB206" i="6"/>
  <c r="AG206" i="6"/>
  <c r="AE206" i="6"/>
  <c r="E204" i="6"/>
  <c r="D204" i="12"/>
  <c r="G207" i="12" l="1"/>
  <c r="AY207" i="6"/>
  <c r="AK207" i="6"/>
  <c r="BF207" i="6"/>
  <c r="AP207" i="6"/>
  <c r="BD207" i="6"/>
  <c r="AN207" i="6"/>
  <c r="BE207" i="6"/>
  <c r="AM207" i="6"/>
  <c r="AB207" i="6"/>
  <c r="AQ207" i="6"/>
  <c r="AE207" i="6"/>
  <c r="AU207" i="6"/>
  <c r="AJ207" i="6"/>
  <c r="AT207" i="6"/>
  <c r="AR207" i="6"/>
  <c r="AC207" i="6"/>
  <c r="BC207" i="6"/>
  <c r="BG207" i="6"/>
  <c r="AZ207" i="6"/>
  <c r="AI207" i="6"/>
  <c r="AF207" i="6"/>
  <c r="BA207" i="6"/>
  <c r="AX207" i="6"/>
  <c r="AO207" i="6"/>
  <c r="BB207" i="6"/>
  <c r="A208" i="6"/>
  <c r="M208" i="6" s="1"/>
  <c r="BF208" i="6" s="1"/>
  <c r="AH207" i="6"/>
  <c r="AS207" i="6"/>
  <c r="AD207" i="6"/>
  <c r="AG207" i="6"/>
  <c r="K207" i="12"/>
  <c r="J208" i="12"/>
  <c r="L208" i="12"/>
  <c r="B209" i="6"/>
  <c r="N209" i="5"/>
  <c r="D209" i="6" s="1"/>
  <c r="H209" i="6" s="1"/>
  <c r="T209" i="5" s="1"/>
  <c r="C210" i="5"/>
  <c r="K209" i="5"/>
  <c r="H209" i="5"/>
  <c r="J209" i="5"/>
  <c r="AD209" i="5"/>
  <c r="E209" i="5"/>
  <c r="W209" i="5"/>
  <c r="H209" i="12" s="1"/>
  <c r="B209" i="5"/>
  <c r="A209" i="12"/>
  <c r="D209" i="5"/>
  <c r="B209" i="12" s="1"/>
  <c r="AE209" i="5"/>
  <c r="F209" i="5"/>
  <c r="G209" i="5"/>
  <c r="X204" i="12"/>
  <c r="Y205" i="12"/>
  <c r="X205" i="12" s="1"/>
  <c r="U203" i="12"/>
  <c r="T203" i="12"/>
  <c r="AM207" i="5"/>
  <c r="L207" i="5"/>
  <c r="I207" i="12"/>
  <c r="Z207" i="5"/>
  <c r="AA206" i="5"/>
  <c r="AB206" i="5"/>
  <c r="C206" i="6"/>
  <c r="O206" i="5"/>
  <c r="D205" i="12"/>
  <c r="E205" i="6"/>
  <c r="G208" i="12"/>
  <c r="X208" i="5"/>
  <c r="N205" i="12"/>
  <c r="C206" i="12"/>
  <c r="O206" i="12"/>
  <c r="M206" i="12"/>
  <c r="AO206" i="12"/>
  <c r="U204" i="12"/>
  <c r="V204" i="12"/>
  <c r="T204" i="12"/>
  <c r="AF208" i="6" l="1"/>
  <c r="AU208" i="6"/>
  <c r="AE208" i="6"/>
  <c r="AN208" i="6"/>
  <c r="AB208" i="6"/>
  <c r="AK208" i="6"/>
  <c r="AM208" i="6"/>
  <c r="BE208" i="6"/>
  <c r="AG208" i="6"/>
  <c r="BC208" i="6"/>
  <c r="AZ208" i="6"/>
  <c r="BA208" i="6"/>
  <c r="AJ208" i="6"/>
  <c r="AR208" i="6"/>
  <c r="AO208" i="6"/>
  <c r="AC208" i="6"/>
  <c r="AI208" i="6"/>
  <c r="AD208" i="6"/>
  <c r="AY208" i="6"/>
  <c r="BD208" i="6"/>
  <c r="AS208" i="6"/>
  <c r="AV208" i="6"/>
  <c r="AQ208" i="6"/>
  <c r="AH208" i="6"/>
  <c r="W205" i="12"/>
  <c r="V205" i="12" s="1"/>
  <c r="AP208" i="6"/>
  <c r="BG208" i="6"/>
  <c r="AT208" i="6"/>
  <c r="BB208" i="6"/>
  <c r="AX208" i="6"/>
  <c r="K208" i="12"/>
  <c r="A209" i="6"/>
  <c r="M209" i="6" s="1"/>
  <c r="AU209" i="6" s="1"/>
  <c r="J209" i="12"/>
  <c r="L209" i="12"/>
  <c r="E210" i="5"/>
  <c r="A210" i="12"/>
  <c r="J210" i="5"/>
  <c r="D210" i="5"/>
  <c r="B210" i="12" s="1"/>
  <c r="G210" i="5"/>
  <c r="AE210" i="5"/>
  <c r="B210" i="6"/>
  <c r="K210" i="5"/>
  <c r="C211" i="5"/>
  <c r="W210" i="5"/>
  <c r="H210" i="12" s="1"/>
  <c r="H210" i="5"/>
  <c r="F210" i="5"/>
  <c r="N210" i="5"/>
  <c r="D210" i="6" s="1"/>
  <c r="H210" i="6" s="1"/>
  <c r="T210" i="5" s="1"/>
  <c r="B210" i="5"/>
  <c r="AD210" i="5"/>
  <c r="Y206" i="12"/>
  <c r="W206" i="12" s="1"/>
  <c r="I208" i="12"/>
  <c r="L208" i="5"/>
  <c r="AM208" i="5"/>
  <c r="Z208" i="5"/>
  <c r="D206" i="12"/>
  <c r="E206" i="6"/>
  <c r="AA207" i="5"/>
  <c r="AB207" i="5"/>
  <c r="C207" i="12"/>
  <c r="O207" i="12"/>
  <c r="AO207" i="12"/>
  <c r="M207" i="12"/>
  <c r="N206" i="12"/>
  <c r="G209" i="12"/>
  <c r="X209" i="5"/>
  <c r="C207" i="6"/>
  <c r="O207" i="5"/>
  <c r="U205" i="12" l="1"/>
  <c r="T205" i="12"/>
  <c r="K209" i="12"/>
  <c r="A210" i="6"/>
  <c r="M210" i="6" s="1"/>
  <c r="AG210" i="6" s="1"/>
  <c r="AQ209" i="6"/>
  <c r="AG209" i="6"/>
  <c r="J210" i="12"/>
  <c r="L210" i="12"/>
  <c r="AF209" i="6"/>
  <c r="AC209" i="6"/>
  <c r="AT209" i="6"/>
  <c r="AM209" i="6"/>
  <c r="BC209" i="6"/>
  <c r="AY209" i="6"/>
  <c r="AE209" i="6"/>
  <c r="AI209" i="6"/>
  <c r="AO209" i="6"/>
  <c r="AH209" i="6"/>
  <c r="AD209" i="6"/>
  <c r="BD209" i="6"/>
  <c r="BE209" i="6"/>
  <c r="BB209" i="6"/>
  <c r="AJ209" i="6"/>
  <c r="AZ209" i="6"/>
  <c r="BF209" i="6"/>
  <c r="AP209" i="6"/>
  <c r="AV209" i="6"/>
  <c r="AK209" i="6"/>
  <c r="AN209" i="6"/>
  <c r="B211" i="6"/>
  <c r="E211" i="5"/>
  <c r="G211" i="5"/>
  <c r="C212" i="5"/>
  <c r="F211" i="5"/>
  <c r="B211" i="5"/>
  <c r="J211" i="5"/>
  <c r="H211" i="5"/>
  <c r="D211" i="5"/>
  <c r="B211" i="12" s="1"/>
  <c r="A211" i="12"/>
  <c r="AD211" i="5"/>
  <c r="W211" i="5"/>
  <c r="H211" i="12" s="1"/>
  <c r="AE211" i="5"/>
  <c r="N211" i="5"/>
  <c r="D211" i="6" s="1"/>
  <c r="H211" i="6" s="1"/>
  <c r="T211" i="5" s="1"/>
  <c r="K211" i="5"/>
  <c r="AB209" i="6"/>
  <c r="BA209" i="6"/>
  <c r="AR209" i="6"/>
  <c r="AX209" i="6"/>
  <c r="BG209" i="6"/>
  <c r="AS209" i="6"/>
  <c r="X206" i="12"/>
  <c r="Y207" i="12"/>
  <c r="X207" i="12" s="1"/>
  <c r="E207" i="6"/>
  <c r="D207" i="12"/>
  <c r="I209" i="12"/>
  <c r="AM209" i="5"/>
  <c r="L209" i="5"/>
  <c r="Z209" i="5"/>
  <c r="U206" i="12"/>
  <c r="T206" i="12"/>
  <c r="V206" i="12"/>
  <c r="C208" i="6"/>
  <c r="O208" i="5"/>
  <c r="N207" i="12"/>
  <c r="AB208" i="5"/>
  <c r="AA208" i="5"/>
  <c r="C208" i="12"/>
  <c r="M208" i="12"/>
  <c r="AO208" i="12"/>
  <c r="O208" i="12"/>
  <c r="G210" i="12"/>
  <c r="X210" i="5"/>
  <c r="AQ210" i="6" l="1"/>
  <c r="AR210" i="6"/>
  <c r="AX210" i="6"/>
  <c r="BF210" i="6"/>
  <c r="AJ210" i="6"/>
  <c r="AI210" i="6"/>
  <c r="AD210" i="6"/>
  <c r="AM210" i="6"/>
  <c r="AC210" i="6"/>
  <c r="BB210" i="6"/>
  <c r="BE210" i="6"/>
  <c r="AO210" i="6"/>
  <c r="BG210" i="6"/>
  <c r="AU210" i="6"/>
  <c r="AE210" i="6"/>
  <c r="AF210" i="6"/>
  <c r="AH210" i="6"/>
  <c r="BA210" i="6"/>
  <c r="AB210" i="6"/>
  <c r="BC210" i="6"/>
  <c r="AZ210" i="6"/>
  <c r="AY210" i="6"/>
  <c r="AP210" i="6"/>
  <c r="AN210" i="6"/>
  <c r="AK210" i="6"/>
  <c r="AV210" i="6"/>
  <c r="AT210" i="6"/>
  <c r="AS210" i="6"/>
  <c r="BD210" i="6"/>
  <c r="A211" i="6"/>
  <c r="M211" i="6" s="1"/>
  <c r="AT211" i="6" s="1"/>
  <c r="K210" i="12"/>
  <c r="J211" i="12"/>
  <c r="L211" i="12"/>
  <c r="AE212" i="5"/>
  <c r="H212" i="5"/>
  <c r="B212" i="5"/>
  <c r="C213" i="5"/>
  <c r="A212" i="12"/>
  <c r="J212" i="5"/>
  <c r="F212" i="5"/>
  <c r="W212" i="5"/>
  <c r="H212" i="12" s="1"/>
  <c r="D212" i="5"/>
  <c r="B212" i="12" s="1"/>
  <c r="B212" i="6"/>
  <c r="AD212" i="5"/>
  <c r="K212" i="5"/>
  <c r="N212" i="5"/>
  <c r="D212" i="6" s="1"/>
  <c r="H212" i="6" s="1"/>
  <c r="T212" i="5" s="1"/>
  <c r="G212" i="5"/>
  <c r="E212" i="5"/>
  <c r="N208" i="12"/>
  <c r="W207" i="12"/>
  <c r="V207" i="12" s="1"/>
  <c r="Y208" i="12"/>
  <c r="X208" i="12" s="1"/>
  <c r="AM210" i="5"/>
  <c r="I210" i="12"/>
  <c r="L210" i="5"/>
  <c r="Z210" i="5"/>
  <c r="G211" i="12"/>
  <c r="X211" i="5"/>
  <c r="D208" i="12"/>
  <c r="E208" i="6"/>
  <c r="AB209" i="5"/>
  <c r="AA209" i="5"/>
  <c r="C209" i="6"/>
  <c r="O209" i="5"/>
  <c r="C209" i="12"/>
  <c r="AO209" i="12"/>
  <c r="O209" i="12"/>
  <c r="M209" i="12"/>
  <c r="BE211" i="6" l="1"/>
  <c r="BA211" i="6"/>
  <c r="AM211" i="6"/>
  <c r="AR211" i="6"/>
  <c r="AP211" i="6"/>
  <c r="AZ211" i="6"/>
  <c r="BC211" i="6"/>
  <c r="AU211" i="6"/>
  <c r="AO211" i="6"/>
  <c r="AK211" i="6"/>
  <c r="AB211" i="6"/>
  <c r="BD211" i="6"/>
  <c r="BF211" i="6"/>
  <c r="AE211" i="6"/>
  <c r="AV211" i="6"/>
  <c r="AN211" i="6"/>
  <c r="AY211" i="6"/>
  <c r="AF211" i="6"/>
  <c r="AQ211" i="6"/>
  <c r="AD211" i="6"/>
  <c r="AH211" i="6"/>
  <c r="AX211" i="6"/>
  <c r="AJ211" i="6"/>
  <c r="BB211" i="6"/>
  <c r="AI211" i="6"/>
  <c r="AG211" i="6"/>
  <c r="BG211" i="6"/>
  <c r="AC211" i="6"/>
  <c r="AS211" i="6"/>
  <c r="K211" i="12"/>
  <c r="A212" i="6"/>
  <c r="M212" i="6" s="1"/>
  <c r="AR212" i="6" s="1"/>
  <c r="L212" i="12"/>
  <c r="J212" i="12"/>
  <c r="N213" i="5"/>
  <c r="D213" i="6" s="1"/>
  <c r="G213" i="5"/>
  <c r="B213" i="5"/>
  <c r="H213" i="5"/>
  <c r="J213" i="5"/>
  <c r="E213" i="5"/>
  <c r="C214" i="5"/>
  <c r="W213" i="5"/>
  <c r="H213" i="12" s="1"/>
  <c r="AE213" i="5"/>
  <c r="F213" i="5"/>
  <c r="A213" i="12"/>
  <c r="D213" i="5"/>
  <c r="B213" i="12" s="1"/>
  <c r="K213" i="5"/>
  <c r="AD213" i="5"/>
  <c r="B213" i="6"/>
  <c r="W208" i="12"/>
  <c r="U208" i="12" s="1"/>
  <c r="T207" i="12"/>
  <c r="U207" i="12"/>
  <c r="N209" i="12"/>
  <c r="I211" i="12"/>
  <c r="L211" i="5"/>
  <c r="AM211" i="5"/>
  <c r="Z211" i="5"/>
  <c r="C210" i="12"/>
  <c r="AO210" i="12"/>
  <c r="O210" i="12"/>
  <c r="M210" i="12"/>
  <c r="Y209" i="12"/>
  <c r="D209" i="12"/>
  <c r="E209" i="6"/>
  <c r="G212" i="12"/>
  <c r="X212" i="5"/>
  <c r="AA210" i="5"/>
  <c r="AB210" i="5"/>
  <c r="C210" i="6"/>
  <c r="O210" i="5"/>
  <c r="A213" i="6" l="1"/>
  <c r="M213" i="6" s="1"/>
  <c r="AM213" i="6" s="1"/>
  <c r="H213" i="6"/>
  <c r="T213" i="5" s="1"/>
  <c r="X213" i="5" s="1"/>
  <c r="AU212" i="6"/>
  <c r="AT212" i="6"/>
  <c r="AC212" i="6"/>
  <c r="AE212" i="6"/>
  <c r="AH212" i="6"/>
  <c r="BC212" i="6"/>
  <c r="AK212" i="6"/>
  <c r="AV212" i="6"/>
  <c r="AJ212" i="6"/>
  <c r="AP212" i="6"/>
  <c r="BD212" i="6"/>
  <c r="AM212" i="6"/>
  <c r="AB212" i="6"/>
  <c r="AG212" i="6"/>
  <c r="AZ212" i="6"/>
  <c r="AN212" i="6"/>
  <c r="AX212" i="6"/>
  <c r="AF212" i="6"/>
  <c r="BA212" i="6"/>
  <c r="AD212" i="6"/>
  <c r="BF212" i="6"/>
  <c r="AO212" i="6"/>
  <c r="AS212" i="6"/>
  <c r="BE212" i="6"/>
  <c r="BB212" i="6"/>
  <c r="AI212" i="6"/>
  <c r="AY212" i="6"/>
  <c r="AQ212" i="6"/>
  <c r="BG212" i="6"/>
  <c r="J213" i="12"/>
  <c r="L213" i="12"/>
  <c r="W214" i="5"/>
  <c r="H214" i="12" s="1"/>
  <c r="D214" i="5"/>
  <c r="B214" i="12" s="1"/>
  <c r="AE214" i="5"/>
  <c r="AD214" i="5"/>
  <c r="E214" i="5"/>
  <c r="B214" i="6"/>
  <c r="J214" i="5"/>
  <c r="N214" i="5"/>
  <c r="D214" i="6" s="1"/>
  <c r="F214" i="5"/>
  <c r="G214" i="5"/>
  <c r="B214" i="5"/>
  <c r="H214" i="5"/>
  <c r="A214" i="12"/>
  <c r="C215" i="5"/>
  <c r="K214" i="5"/>
  <c r="K212" i="12"/>
  <c r="V208" i="12"/>
  <c r="T208" i="12"/>
  <c r="N210" i="12"/>
  <c r="D210" i="12"/>
  <c r="E210" i="6"/>
  <c r="X209" i="12"/>
  <c r="W209" i="12"/>
  <c r="C211" i="12"/>
  <c r="M211" i="12"/>
  <c r="AO211" i="12"/>
  <c r="O211" i="12"/>
  <c r="L212" i="5"/>
  <c r="AM212" i="5"/>
  <c r="I212" i="12"/>
  <c r="Z212" i="5"/>
  <c r="Y210" i="12"/>
  <c r="AA211" i="5"/>
  <c r="AB211" i="5"/>
  <c r="C211" i="6"/>
  <c r="O211" i="5"/>
  <c r="A214" i="6" l="1"/>
  <c r="M214" i="6" s="1"/>
  <c r="BF214" i="6" s="1"/>
  <c r="AS213" i="6"/>
  <c r="BB213" i="6"/>
  <c r="BA213" i="6"/>
  <c r="AJ213" i="6"/>
  <c r="AD213" i="6"/>
  <c r="AI213" i="6"/>
  <c r="G213" i="12"/>
  <c r="AF213" i="6"/>
  <c r="AE213" i="6"/>
  <c r="AH213" i="6"/>
  <c r="AK213" i="6"/>
  <c r="AC213" i="6"/>
  <c r="AP213" i="6"/>
  <c r="AZ213" i="6"/>
  <c r="BG213" i="6"/>
  <c r="AU213" i="6"/>
  <c r="AV213" i="6"/>
  <c r="AB213" i="6"/>
  <c r="AG213" i="6"/>
  <c r="AX213" i="6"/>
  <c r="BD213" i="6"/>
  <c r="AN213" i="6"/>
  <c r="AQ213" i="6"/>
  <c r="AR213" i="6"/>
  <c r="AT213" i="6"/>
  <c r="BC213" i="6"/>
  <c r="BE213" i="6"/>
  <c r="BF213" i="6"/>
  <c r="AY213" i="6"/>
  <c r="AO213" i="6"/>
  <c r="K213" i="12"/>
  <c r="H214" i="6"/>
  <c r="T214" i="5" s="1"/>
  <c r="G214" i="12" s="1"/>
  <c r="L214" i="12"/>
  <c r="J214" i="12"/>
  <c r="J215" i="5"/>
  <c r="AE215" i="5"/>
  <c r="D215" i="5"/>
  <c r="B215" i="12" s="1"/>
  <c r="F215" i="5"/>
  <c r="E215" i="5"/>
  <c r="C216" i="5"/>
  <c r="A215" i="12"/>
  <c r="H215" i="5"/>
  <c r="B215" i="6"/>
  <c r="W215" i="5"/>
  <c r="H215" i="12" s="1"/>
  <c r="G215" i="5"/>
  <c r="N215" i="5"/>
  <c r="D215" i="6" s="1"/>
  <c r="H215" i="6" s="1"/>
  <c r="T215" i="5" s="1"/>
  <c r="B215" i="5"/>
  <c r="K215" i="5"/>
  <c r="AD215" i="5"/>
  <c r="N211" i="12"/>
  <c r="Y211" i="12"/>
  <c r="X211" i="12" s="1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I213" i="12"/>
  <c r="AM213" i="5"/>
  <c r="L213" i="5"/>
  <c r="Z213" i="5"/>
  <c r="T209" i="12"/>
  <c r="U209" i="12"/>
  <c r="V209" i="12"/>
  <c r="BB214" i="6" l="1"/>
  <c r="AX214" i="6"/>
  <c r="AT214" i="6"/>
  <c r="AP214" i="6"/>
  <c r="BD214" i="6"/>
  <c r="AC214" i="6"/>
  <c r="AN214" i="6"/>
  <c r="AZ214" i="6"/>
  <c r="BG214" i="6"/>
  <c r="AQ214" i="6"/>
  <c r="BA214" i="6"/>
  <c r="AJ214" i="6"/>
  <c r="AU214" i="6"/>
  <c r="AM214" i="6"/>
  <c r="BE214" i="6"/>
  <c r="AS214" i="6"/>
  <c r="BC214" i="6"/>
  <c r="AY214" i="6"/>
  <c r="AR214" i="6"/>
  <c r="AV214" i="6"/>
  <c r="AO214" i="6"/>
  <c r="AK214" i="6"/>
  <c r="AH214" i="6"/>
  <c r="AB214" i="6"/>
  <c r="AF214" i="6"/>
  <c r="AG214" i="6"/>
  <c r="X214" i="5"/>
  <c r="AM214" i="5" s="1"/>
  <c r="AE214" i="6"/>
  <c r="AD214" i="6"/>
  <c r="AI214" i="6"/>
  <c r="A215" i="6"/>
  <c r="M215" i="6" s="1"/>
  <c r="AF215" i="6" s="1"/>
  <c r="K214" i="12"/>
  <c r="B216" i="5"/>
  <c r="W216" i="5"/>
  <c r="H216" i="12" s="1"/>
  <c r="F216" i="5"/>
  <c r="H216" i="5"/>
  <c r="G216" i="5"/>
  <c r="D216" i="5"/>
  <c r="B216" i="12" s="1"/>
  <c r="C217" i="5"/>
  <c r="AE216" i="5"/>
  <c r="N216" i="5"/>
  <c r="D216" i="6" s="1"/>
  <c r="H216" i="6" s="1"/>
  <c r="T216" i="5" s="1"/>
  <c r="K216" i="5"/>
  <c r="AD216" i="5"/>
  <c r="J216" i="5"/>
  <c r="E216" i="5"/>
  <c r="A216" i="12"/>
  <c r="B216" i="6"/>
  <c r="L215" i="12"/>
  <c r="J215" i="12"/>
  <c r="W211" i="12"/>
  <c r="U211" i="12" s="1"/>
  <c r="N212" i="12"/>
  <c r="AB213" i="5"/>
  <c r="AA213" i="5"/>
  <c r="U210" i="12"/>
  <c r="T210" i="12"/>
  <c r="V210" i="12"/>
  <c r="C213" i="6"/>
  <c r="O213" i="5"/>
  <c r="C213" i="12"/>
  <c r="O213" i="12"/>
  <c r="AO213" i="12"/>
  <c r="M213" i="12"/>
  <c r="G215" i="12"/>
  <c r="X215" i="5"/>
  <c r="D212" i="12"/>
  <c r="E212" i="6"/>
  <c r="Y212" i="12"/>
  <c r="I214" i="12" l="1"/>
  <c r="C214" i="12" s="1"/>
  <c r="A216" i="6"/>
  <c r="M216" i="6" s="1"/>
  <c r="AU216" i="6" s="1"/>
  <c r="Z214" i="5"/>
  <c r="AA214" i="5" s="1"/>
  <c r="L214" i="5"/>
  <c r="O214" i="5" s="1"/>
  <c r="K215" i="12"/>
  <c r="N217" i="5"/>
  <c r="D217" i="6" s="1"/>
  <c r="H217" i="6" s="1"/>
  <c r="T217" i="5" s="1"/>
  <c r="D217" i="5"/>
  <c r="B217" i="12" s="1"/>
  <c r="C218" i="5"/>
  <c r="B217" i="6"/>
  <c r="K217" i="5"/>
  <c r="F217" i="5"/>
  <c r="AD217" i="5"/>
  <c r="J217" i="5"/>
  <c r="E217" i="5"/>
  <c r="G217" i="5"/>
  <c r="H217" i="5"/>
  <c r="B217" i="5"/>
  <c r="AE217" i="5"/>
  <c r="W217" i="5"/>
  <c r="H217" i="12" s="1"/>
  <c r="A217" i="12"/>
  <c r="J216" i="12"/>
  <c r="L216" i="12"/>
  <c r="AX215" i="6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X212" i="12"/>
  <c r="W212" i="12"/>
  <c r="I215" i="12"/>
  <c r="L215" i="5"/>
  <c r="AM215" i="5"/>
  <c r="Z215" i="5"/>
  <c r="N213" i="12"/>
  <c r="E213" i="6"/>
  <c r="D213" i="12"/>
  <c r="Y213" i="12"/>
  <c r="G216" i="12"/>
  <c r="X216" i="5"/>
  <c r="AB214" i="5"/>
  <c r="C214" i="6"/>
  <c r="O214" i="12" l="1"/>
  <c r="M214" i="12"/>
  <c r="AO214" i="12"/>
  <c r="A217" i="6"/>
  <c r="M217" i="6" s="1"/>
  <c r="BE217" i="6" s="1"/>
  <c r="K216" i="12"/>
  <c r="J217" i="12"/>
  <c r="L217" i="12"/>
  <c r="J218" i="5"/>
  <c r="B218" i="5"/>
  <c r="D218" i="5"/>
  <c r="B218" i="12" s="1"/>
  <c r="B218" i="6"/>
  <c r="K218" i="5"/>
  <c r="H218" i="5"/>
  <c r="G218" i="5"/>
  <c r="W218" i="5"/>
  <c r="H218" i="12" s="1"/>
  <c r="C219" i="5"/>
  <c r="AD218" i="5"/>
  <c r="E218" i="5"/>
  <c r="AE218" i="5"/>
  <c r="N218" i="5"/>
  <c r="D218" i="6" s="1"/>
  <c r="H218" i="6" s="1"/>
  <c r="T218" i="5" s="1"/>
  <c r="F218" i="5"/>
  <c r="A218" i="12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AC216" i="6"/>
  <c r="AI216" i="6"/>
  <c r="AG216" i="6"/>
  <c r="AP216" i="6"/>
  <c r="AO216" i="6"/>
  <c r="AS216" i="6"/>
  <c r="AE216" i="6"/>
  <c r="AV216" i="6"/>
  <c r="AZ216" i="6"/>
  <c r="BF216" i="6"/>
  <c r="AK216" i="6"/>
  <c r="AM216" i="6"/>
  <c r="BC216" i="6"/>
  <c r="AJ216" i="6"/>
  <c r="BG216" i="6"/>
  <c r="D214" i="12"/>
  <c r="E214" i="6"/>
  <c r="L216" i="5"/>
  <c r="AM216" i="5"/>
  <c r="I216" i="12"/>
  <c r="Z216" i="5"/>
  <c r="G217" i="12"/>
  <c r="X217" i="5"/>
  <c r="C215" i="6"/>
  <c r="O215" i="5"/>
  <c r="V212" i="12"/>
  <c r="T212" i="12"/>
  <c r="U212" i="12"/>
  <c r="X213" i="12"/>
  <c r="W213" i="12"/>
  <c r="AA215" i="5"/>
  <c r="AB215" i="5"/>
  <c r="C215" i="12"/>
  <c r="M215" i="12"/>
  <c r="AO215" i="12"/>
  <c r="O215" i="12"/>
  <c r="Y214" i="12" l="1"/>
  <c r="W214" i="12" s="1"/>
  <c r="N214" i="12"/>
  <c r="K217" i="12"/>
  <c r="A218" i="6"/>
  <c r="M218" i="6" s="1"/>
  <c r="BD218" i="6" s="1"/>
  <c r="B219" i="6"/>
  <c r="C220" i="5"/>
  <c r="D219" i="5"/>
  <c r="B219" i="12" s="1"/>
  <c r="W219" i="5"/>
  <c r="H219" i="12" s="1"/>
  <c r="A219" i="12"/>
  <c r="AE219" i="5"/>
  <c r="B219" i="5"/>
  <c r="E219" i="5"/>
  <c r="K219" i="5"/>
  <c r="N219" i="5"/>
  <c r="D219" i="6" s="1"/>
  <c r="H219" i="6" s="1"/>
  <c r="T219" i="5" s="1"/>
  <c r="G219" i="5"/>
  <c r="J219" i="5"/>
  <c r="F219" i="5"/>
  <c r="H219" i="5"/>
  <c r="AD219" i="5"/>
  <c r="L218" i="12"/>
  <c r="J218" i="12"/>
  <c r="AV217" i="6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T213" i="12"/>
  <c r="V213" i="12"/>
  <c r="U213" i="12"/>
  <c r="L217" i="5"/>
  <c r="I217" i="12"/>
  <c r="AM217" i="5"/>
  <c r="Z217" i="5"/>
  <c r="AB216" i="5"/>
  <c r="AA216" i="5"/>
  <c r="C216" i="12"/>
  <c r="AO216" i="12"/>
  <c r="M216" i="12"/>
  <c r="O216" i="12"/>
  <c r="C216" i="6"/>
  <c r="O216" i="5"/>
  <c r="Y215" i="12"/>
  <c r="D215" i="12"/>
  <c r="E215" i="6"/>
  <c r="G218" i="12"/>
  <c r="X218" i="5"/>
  <c r="X214" i="12" l="1"/>
  <c r="AS218" i="6"/>
  <c r="AD218" i="6"/>
  <c r="AY218" i="6"/>
  <c r="AV218" i="6"/>
  <c r="AP218" i="6"/>
  <c r="AB218" i="6"/>
  <c r="BF218" i="6"/>
  <c r="AF218" i="6"/>
  <c r="AK218" i="6"/>
  <c r="AZ218" i="6"/>
  <c r="BE218" i="6"/>
  <c r="AT218" i="6"/>
  <c r="BA218" i="6"/>
  <c r="AJ218" i="6"/>
  <c r="BB218" i="6"/>
  <c r="AX218" i="6"/>
  <c r="AN218" i="6"/>
  <c r="AC218" i="6"/>
  <c r="AE218" i="6"/>
  <c r="AI218" i="6"/>
  <c r="AQ218" i="6"/>
  <c r="AO218" i="6"/>
  <c r="BC218" i="6"/>
  <c r="AG218" i="6"/>
  <c r="AH218" i="6"/>
  <c r="AM218" i="6"/>
  <c r="AR218" i="6"/>
  <c r="AU218" i="6"/>
  <c r="BG218" i="6"/>
  <c r="K218" i="12"/>
  <c r="A219" i="6"/>
  <c r="M219" i="6" s="1"/>
  <c r="BE219" i="6" s="1"/>
  <c r="J220" i="5"/>
  <c r="K220" i="5"/>
  <c r="H220" i="5"/>
  <c r="A220" i="12"/>
  <c r="G220" i="5"/>
  <c r="C221" i="5"/>
  <c r="N220" i="5"/>
  <c r="D220" i="6" s="1"/>
  <c r="H220" i="6" s="1"/>
  <c r="T220" i="5" s="1"/>
  <c r="B220" i="5"/>
  <c r="D220" i="5"/>
  <c r="B220" i="12" s="1"/>
  <c r="B220" i="6"/>
  <c r="W220" i="5"/>
  <c r="H220" i="12" s="1"/>
  <c r="F220" i="5"/>
  <c r="AD220" i="5"/>
  <c r="AE220" i="5"/>
  <c r="E220" i="5"/>
  <c r="L219" i="12"/>
  <c r="J219" i="12"/>
  <c r="V214" i="12"/>
  <c r="U214" i="12"/>
  <c r="T214" i="12"/>
  <c r="W215" i="12"/>
  <c r="X215" i="12"/>
  <c r="C217" i="6"/>
  <c r="O217" i="5"/>
  <c r="I218" i="12"/>
  <c r="L218" i="5"/>
  <c r="AM218" i="5"/>
  <c r="Z218" i="5"/>
  <c r="G219" i="12"/>
  <c r="X219" i="5"/>
  <c r="E216" i="6"/>
  <c r="D216" i="12"/>
  <c r="N216" i="12"/>
  <c r="Y216" i="12"/>
  <c r="AA217" i="5"/>
  <c r="AB217" i="5"/>
  <c r="C217" i="12"/>
  <c r="AO217" i="12"/>
  <c r="O217" i="12"/>
  <c r="M217" i="12"/>
  <c r="K219" i="12" l="1"/>
  <c r="AI219" i="6"/>
  <c r="BC219" i="6"/>
  <c r="AO219" i="6"/>
  <c r="BF219" i="6"/>
  <c r="AT219" i="6"/>
  <c r="AY219" i="6"/>
  <c r="AC219" i="6"/>
  <c r="BB219" i="6"/>
  <c r="AS219" i="6"/>
  <c r="BA219" i="6"/>
  <c r="AP219" i="6"/>
  <c r="AQ219" i="6"/>
  <c r="AK219" i="6"/>
  <c r="AG219" i="6"/>
  <c r="AR219" i="6"/>
  <c r="AX219" i="6"/>
  <c r="AV219" i="6"/>
  <c r="AN219" i="6"/>
  <c r="AB219" i="6"/>
  <c r="AF219" i="6"/>
  <c r="AZ219" i="6"/>
  <c r="AU219" i="6"/>
  <c r="AE219" i="6"/>
  <c r="A220" i="6"/>
  <c r="M220" i="6" s="1"/>
  <c r="AH219" i="6"/>
  <c r="BD219" i="6"/>
  <c r="AJ219" i="6"/>
  <c r="BG219" i="6"/>
  <c r="AM219" i="6"/>
  <c r="AD219" i="6"/>
  <c r="L220" i="12"/>
  <c r="J220" i="12"/>
  <c r="F221" i="5"/>
  <c r="K221" i="5"/>
  <c r="B221" i="5"/>
  <c r="G221" i="5"/>
  <c r="C222" i="5"/>
  <c r="AD221" i="5"/>
  <c r="N221" i="5"/>
  <c r="D221" i="6" s="1"/>
  <c r="D221" i="5"/>
  <c r="B221" i="12" s="1"/>
  <c r="H221" i="5"/>
  <c r="AE221" i="5"/>
  <c r="J221" i="5"/>
  <c r="E221" i="5"/>
  <c r="B221" i="6"/>
  <c r="W221" i="5"/>
  <c r="H221" i="12" s="1"/>
  <c r="A221" i="12"/>
  <c r="N217" i="12"/>
  <c r="C218" i="6"/>
  <c r="O218" i="5"/>
  <c r="V215" i="12"/>
  <c r="U215" i="12"/>
  <c r="T215" i="12"/>
  <c r="Y217" i="12"/>
  <c r="W216" i="12"/>
  <c r="X216" i="12"/>
  <c r="AM219" i="5"/>
  <c r="I219" i="12"/>
  <c r="L219" i="5"/>
  <c r="Z219" i="5"/>
  <c r="AA218" i="5"/>
  <c r="AB218" i="5"/>
  <c r="C218" i="12"/>
  <c r="O218" i="12"/>
  <c r="AO218" i="12"/>
  <c r="M218" i="12"/>
  <c r="E217" i="6"/>
  <c r="D217" i="12"/>
  <c r="G220" i="12"/>
  <c r="X220" i="5"/>
  <c r="A221" i="6" l="1"/>
  <c r="M221" i="6" s="1"/>
  <c r="K220" i="12"/>
  <c r="H221" i="6"/>
  <c r="T221" i="5" s="1"/>
  <c r="X221" i="5" s="1"/>
  <c r="H222" i="5"/>
  <c r="B222" i="6"/>
  <c r="AD222" i="5"/>
  <c r="W222" i="5"/>
  <c r="H222" i="12" s="1"/>
  <c r="A222" i="12"/>
  <c r="J222" i="5"/>
  <c r="D222" i="5"/>
  <c r="B222" i="12" s="1"/>
  <c r="B222" i="5"/>
  <c r="K222" i="5"/>
  <c r="F222" i="5"/>
  <c r="E222" i="5"/>
  <c r="N222" i="5"/>
  <c r="D222" i="6" s="1"/>
  <c r="H222" i="6" s="1"/>
  <c r="T222" i="5" s="1"/>
  <c r="G222" i="5"/>
  <c r="AE222" i="5"/>
  <c r="C223" i="5"/>
  <c r="J221" i="12"/>
  <c r="L221" i="12"/>
  <c r="N218" i="12"/>
  <c r="AB219" i="5"/>
  <c r="AA219" i="5"/>
  <c r="C219" i="12"/>
  <c r="M219" i="12"/>
  <c r="AO219" i="12"/>
  <c r="O219" i="12"/>
  <c r="W217" i="12"/>
  <c r="X217" i="12"/>
  <c r="E218" i="6"/>
  <c r="D218" i="12"/>
  <c r="AM220" i="5"/>
  <c r="L220" i="5"/>
  <c r="I220" i="12"/>
  <c r="Z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 l="1"/>
  <c r="AI221" i="6"/>
  <c r="AC221" i="6"/>
  <c r="BF221" i="6"/>
  <c r="BB221" i="6"/>
  <c r="AS221" i="6"/>
  <c r="AK221" i="6"/>
  <c r="AM221" i="6"/>
  <c r="AP221" i="6"/>
  <c r="AJ221" i="6"/>
  <c r="BC221" i="6"/>
  <c r="A222" i="6"/>
  <c r="M222" i="6" s="1"/>
  <c r="AC222" i="6" s="1"/>
  <c r="AU221" i="6"/>
  <c r="BA221" i="6"/>
  <c r="BD221" i="6"/>
  <c r="BG221" i="6"/>
  <c r="AH221" i="6"/>
  <c r="AR221" i="6"/>
  <c r="AZ221" i="6"/>
  <c r="AG221" i="6"/>
  <c r="AT221" i="6"/>
  <c r="AB221" i="6"/>
  <c r="AF221" i="6"/>
  <c r="AD221" i="6"/>
  <c r="AQ221" i="6"/>
  <c r="AN221" i="6"/>
  <c r="AE221" i="6"/>
  <c r="AY221" i="6"/>
  <c r="BE221" i="6"/>
  <c r="AO221" i="6"/>
  <c r="AV221" i="6"/>
  <c r="AX221" i="6"/>
  <c r="B223" i="6"/>
  <c r="W223" i="5"/>
  <c r="H223" i="12" s="1"/>
  <c r="D223" i="5"/>
  <c r="B223" i="12" s="1"/>
  <c r="C224" i="5"/>
  <c r="F223" i="5"/>
  <c r="H223" i="5"/>
  <c r="E223" i="5"/>
  <c r="K223" i="5"/>
  <c r="B223" i="5"/>
  <c r="N223" i="5"/>
  <c r="D223" i="6" s="1"/>
  <c r="H223" i="6" s="1"/>
  <c r="T223" i="5" s="1"/>
  <c r="A223" i="12"/>
  <c r="J223" i="5"/>
  <c r="AE223" i="5"/>
  <c r="G223" i="5"/>
  <c r="AD223" i="5"/>
  <c r="K221" i="12"/>
  <c r="J222" i="12"/>
  <c r="L222" i="12"/>
  <c r="N219" i="12"/>
  <c r="Y219" i="12"/>
  <c r="X219" i="12" s="1"/>
  <c r="E219" i="6"/>
  <c r="D219" i="12"/>
  <c r="X218" i="12"/>
  <c r="W218" i="12"/>
  <c r="AB220" i="5"/>
  <c r="AA220" i="5"/>
  <c r="C220" i="12"/>
  <c r="O220" i="12"/>
  <c r="M220" i="12"/>
  <c r="AO220" i="12"/>
  <c r="U217" i="12"/>
  <c r="T217" i="12"/>
  <c r="V217" i="12"/>
  <c r="L221" i="5"/>
  <c r="AM221" i="5"/>
  <c r="I221" i="12"/>
  <c r="Z221" i="5"/>
  <c r="C220" i="6"/>
  <c r="O220" i="5"/>
  <c r="G222" i="12"/>
  <c r="X222" i="5"/>
  <c r="A223" i="6" l="1"/>
  <c r="M223" i="6" s="1"/>
  <c r="AV223" i="6" s="1"/>
  <c r="K222" i="12"/>
  <c r="W224" i="5"/>
  <c r="H224" i="12" s="1"/>
  <c r="J224" i="5"/>
  <c r="A224" i="12"/>
  <c r="E224" i="5"/>
  <c r="AD224" i="5"/>
  <c r="G224" i="5"/>
  <c r="D224" i="5"/>
  <c r="B224" i="12" s="1"/>
  <c r="F224" i="5"/>
  <c r="N224" i="5"/>
  <c r="D224" i="6" s="1"/>
  <c r="H224" i="6" s="1"/>
  <c r="T224" i="5" s="1"/>
  <c r="B224" i="5"/>
  <c r="AE224" i="5"/>
  <c r="K224" i="5"/>
  <c r="H224" i="5"/>
  <c r="B224" i="6"/>
  <c r="C225" i="5"/>
  <c r="J223" i="12"/>
  <c r="L223" i="12"/>
  <c r="BE222" i="6"/>
  <c r="Y220" i="12"/>
  <c r="W220" i="12" s="1"/>
  <c r="AQ222" i="6"/>
  <c r="AI222" i="6"/>
  <c r="AZ222" i="6"/>
  <c r="AO222" i="6"/>
  <c r="BB222" i="6"/>
  <c r="BD222" i="6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E220" i="6"/>
  <c r="D220" i="12"/>
  <c r="AB221" i="5"/>
  <c r="AA221" i="5"/>
  <c r="T218" i="12"/>
  <c r="V218" i="12"/>
  <c r="U218" i="12"/>
  <c r="C221" i="12"/>
  <c r="O221" i="12"/>
  <c r="AO221" i="12"/>
  <c r="M221" i="12"/>
  <c r="C221" i="6"/>
  <c r="O221" i="5"/>
  <c r="G223" i="12"/>
  <c r="X223" i="5"/>
  <c r="X220" i="12" l="1"/>
  <c r="A224" i="6"/>
  <c r="M224" i="6" s="1"/>
  <c r="AM224" i="6" s="1"/>
  <c r="K223" i="12"/>
  <c r="D225" i="5"/>
  <c r="B225" i="12" s="1"/>
  <c r="B225" i="5"/>
  <c r="C226" i="5"/>
  <c r="A225" i="12"/>
  <c r="N225" i="5"/>
  <c r="D225" i="6" s="1"/>
  <c r="H225" i="6" s="1"/>
  <c r="T225" i="5" s="1"/>
  <c r="AD225" i="5"/>
  <c r="K225" i="5"/>
  <c r="E225" i="5"/>
  <c r="AE225" i="5"/>
  <c r="B225" i="6"/>
  <c r="H225" i="5"/>
  <c r="G225" i="5"/>
  <c r="J225" i="5"/>
  <c r="F225" i="5"/>
  <c r="W225" i="5"/>
  <c r="H225" i="12" s="1"/>
  <c r="J224" i="12"/>
  <c r="L224" i="12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AM223" i="5"/>
  <c r="L223" i="5"/>
  <c r="I223" i="12"/>
  <c r="Z223" i="5"/>
  <c r="U220" i="12"/>
  <c r="T220" i="12"/>
  <c r="V220" i="12"/>
  <c r="C222" i="12"/>
  <c r="O222" i="12"/>
  <c r="AO222" i="12"/>
  <c r="M222" i="12"/>
  <c r="E221" i="6"/>
  <c r="D221" i="12"/>
  <c r="N221" i="12"/>
  <c r="G224" i="12"/>
  <c r="X224" i="5"/>
  <c r="AB222" i="5"/>
  <c r="AA222" i="5"/>
  <c r="C222" i="6"/>
  <c r="O222" i="5"/>
  <c r="A225" i="6" l="1"/>
  <c r="M225" i="6" s="1"/>
  <c r="BA225" i="6" s="1"/>
  <c r="K224" i="12"/>
  <c r="J225" i="12"/>
  <c r="L225" i="12"/>
  <c r="B226" i="5"/>
  <c r="AD226" i="5"/>
  <c r="D226" i="5"/>
  <c r="B226" i="12" s="1"/>
  <c r="H226" i="5"/>
  <c r="AE226" i="5"/>
  <c r="W226" i="5"/>
  <c r="H226" i="12" s="1"/>
  <c r="J226" i="5"/>
  <c r="N226" i="5"/>
  <c r="D226" i="6" s="1"/>
  <c r="H226" i="6" s="1"/>
  <c r="T226" i="5" s="1"/>
  <c r="B226" i="6"/>
  <c r="G226" i="5"/>
  <c r="F226" i="5"/>
  <c r="C227" i="5"/>
  <c r="A226" i="12"/>
  <c r="E226" i="5"/>
  <c r="K226" i="5"/>
  <c r="X221" i="12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V221" i="12"/>
  <c r="T221" i="12"/>
  <c r="U221" i="12"/>
  <c r="C223" i="6"/>
  <c r="O223" i="5"/>
  <c r="I224" i="12"/>
  <c r="L224" i="5"/>
  <c r="AM224" i="5"/>
  <c r="Z224" i="5"/>
  <c r="G225" i="12"/>
  <c r="X225" i="5"/>
  <c r="N222" i="12"/>
  <c r="AA223" i="5"/>
  <c r="AB223" i="5"/>
  <c r="C223" i="12"/>
  <c r="O223" i="12"/>
  <c r="AO223" i="12"/>
  <c r="M223" i="12"/>
  <c r="AS225" i="6" l="1"/>
  <c r="AM225" i="6"/>
  <c r="AK225" i="6"/>
  <c r="BG225" i="6"/>
  <c r="AZ225" i="6"/>
  <c r="AB225" i="6"/>
  <c r="AC225" i="6"/>
  <c r="AO225" i="6"/>
  <c r="AP225" i="6"/>
  <c r="AT225" i="6"/>
  <c r="AD225" i="6"/>
  <c r="BD225" i="6"/>
  <c r="BC225" i="6"/>
  <c r="AH225" i="6"/>
  <c r="AN225" i="6"/>
  <c r="BF225" i="6"/>
  <c r="AY225" i="6"/>
  <c r="AR225" i="6"/>
  <c r="BB225" i="6"/>
  <c r="BE225" i="6"/>
  <c r="AF225" i="6"/>
  <c r="AG225" i="6"/>
  <c r="AJ225" i="6"/>
  <c r="AV225" i="6"/>
  <c r="AX225" i="6"/>
  <c r="AE225" i="6"/>
  <c r="AQ225" i="6"/>
  <c r="AU225" i="6"/>
  <c r="AI225" i="6"/>
  <c r="A226" i="6"/>
  <c r="M226" i="6" s="1"/>
  <c r="BD226" i="6" s="1"/>
  <c r="X222" i="12"/>
  <c r="K225" i="12"/>
  <c r="L226" i="12"/>
  <c r="J226" i="12"/>
  <c r="F227" i="5"/>
  <c r="D227" i="5"/>
  <c r="B227" i="12" s="1"/>
  <c r="N227" i="5"/>
  <c r="D227" i="6" s="1"/>
  <c r="H227" i="6" s="1"/>
  <c r="T227" i="5" s="1"/>
  <c r="C228" i="5"/>
  <c r="B227" i="5"/>
  <c r="K227" i="5"/>
  <c r="W227" i="5"/>
  <c r="H227" i="12" s="1"/>
  <c r="AD227" i="5"/>
  <c r="H227" i="5"/>
  <c r="G227" i="5"/>
  <c r="B227" i="6"/>
  <c r="E227" i="5"/>
  <c r="J227" i="5"/>
  <c r="AE227" i="5"/>
  <c r="A227" i="12"/>
  <c r="Y223" i="12"/>
  <c r="W223" i="12" s="1"/>
  <c r="C224" i="12"/>
  <c r="O224" i="12"/>
  <c r="M224" i="12"/>
  <c r="AO224" i="12"/>
  <c r="N223" i="12"/>
  <c r="G226" i="12"/>
  <c r="X226" i="5"/>
  <c r="I225" i="12"/>
  <c r="AM225" i="5"/>
  <c r="L225" i="5"/>
  <c r="Z225" i="5"/>
  <c r="AA224" i="5"/>
  <c r="AB224" i="5"/>
  <c r="C224" i="6"/>
  <c r="O224" i="5"/>
  <c r="E223" i="6"/>
  <c r="D223" i="12"/>
  <c r="U222" i="12"/>
  <c r="T222" i="12"/>
  <c r="V222" i="12"/>
  <c r="A227" i="6" l="1"/>
  <c r="M227" i="6" s="1"/>
  <c r="AK227" i="6" s="1"/>
  <c r="AQ226" i="6"/>
  <c r="BF226" i="6"/>
  <c r="AF226" i="6"/>
  <c r="AH226" i="6"/>
  <c r="AN226" i="6"/>
  <c r="AC226" i="6"/>
  <c r="AG226" i="6"/>
  <c r="AB226" i="6"/>
  <c r="AY226" i="6"/>
  <c r="BA226" i="6"/>
  <c r="BC226" i="6"/>
  <c r="BG226" i="6"/>
  <c r="AX226" i="6"/>
  <c r="AR226" i="6"/>
  <c r="AI226" i="6"/>
  <c r="AT226" i="6"/>
  <c r="AZ226" i="6"/>
  <c r="AK226" i="6"/>
  <c r="AU226" i="6"/>
  <c r="AD226" i="6"/>
  <c r="BB226" i="6"/>
  <c r="AS226" i="6"/>
  <c r="AJ226" i="6"/>
  <c r="AE226" i="6"/>
  <c r="AO226" i="6"/>
  <c r="K226" i="12"/>
  <c r="AV226" i="6"/>
  <c r="AM226" i="6"/>
  <c r="BE226" i="6"/>
  <c r="AP226" i="6"/>
  <c r="AD228" i="5"/>
  <c r="J228" i="5"/>
  <c r="W228" i="5"/>
  <c r="H228" i="12" s="1"/>
  <c r="K228" i="5"/>
  <c r="B228" i="5"/>
  <c r="N228" i="5"/>
  <c r="D228" i="6" s="1"/>
  <c r="H228" i="6" s="1"/>
  <c r="T228" i="5" s="1"/>
  <c r="C229" i="5"/>
  <c r="B228" i="6"/>
  <c r="A228" i="12"/>
  <c r="E228" i="5"/>
  <c r="F228" i="5"/>
  <c r="AE228" i="5"/>
  <c r="H228" i="5"/>
  <c r="G228" i="5"/>
  <c r="D228" i="5"/>
  <c r="B228" i="12" s="1"/>
  <c r="J227" i="12"/>
  <c r="L227" i="12"/>
  <c r="Y224" i="12"/>
  <c r="W224" i="12" s="1"/>
  <c r="X223" i="12"/>
  <c r="N224" i="12"/>
  <c r="D224" i="12"/>
  <c r="E224" i="6"/>
  <c r="AB225" i="5"/>
  <c r="AA225" i="5"/>
  <c r="G227" i="12"/>
  <c r="X227" i="5"/>
  <c r="U223" i="12"/>
  <c r="V223" i="12"/>
  <c r="T223" i="12"/>
  <c r="C225" i="6"/>
  <c r="O225" i="5"/>
  <c r="C225" i="12"/>
  <c r="M225" i="12"/>
  <c r="O225" i="12"/>
  <c r="AO225" i="12"/>
  <c r="I226" i="12"/>
  <c r="AM226" i="5"/>
  <c r="L226" i="5"/>
  <c r="Z226" i="5"/>
  <c r="A228" i="6" l="1"/>
  <c r="M228" i="6" s="1"/>
  <c r="BF228" i="6" s="1"/>
  <c r="X224" i="12"/>
  <c r="K227" i="12"/>
  <c r="F229" i="5"/>
  <c r="E229" i="5"/>
  <c r="G229" i="5"/>
  <c r="N229" i="5"/>
  <c r="D229" i="6" s="1"/>
  <c r="H229" i="6" s="1"/>
  <c r="T229" i="5" s="1"/>
  <c r="A229" i="12"/>
  <c r="AD229" i="5"/>
  <c r="AE229" i="5"/>
  <c r="H229" i="5"/>
  <c r="D229" i="5"/>
  <c r="B229" i="12" s="1"/>
  <c r="B229" i="6"/>
  <c r="W229" i="5"/>
  <c r="H229" i="12" s="1"/>
  <c r="B229" i="5"/>
  <c r="J229" i="5"/>
  <c r="K229" i="5"/>
  <c r="C230" i="5"/>
  <c r="J228" i="12"/>
  <c r="L228" i="12"/>
  <c r="AJ227" i="6"/>
  <c r="Y225" i="12"/>
  <c r="W225" i="12" s="1"/>
  <c r="AG227" i="6"/>
  <c r="AB226" i="5"/>
  <c r="AA226" i="5"/>
  <c r="E225" i="6"/>
  <c r="D225" i="12"/>
  <c r="AM227" i="5"/>
  <c r="I227" i="12"/>
  <c r="L227" i="5"/>
  <c r="Z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T224" i="12"/>
  <c r="U224" i="12"/>
  <c r="V224" i="12"/>
  <c r="AD227" i="6"/>
  <c r="AH227" i="6"/>
  <c r="C226" i="6"/>
  <c r="O226" i="5"/>
  <c r="C226" i="12"/>
  <c r="O226" i="12"/>
  <c r="AO226" i="12"/>
  <c r="M226" i="12"/>
  <c r="G228" i="12"/>
  <c r="X228" i="5"/>
  <c r="N225" i="12"/>
  <c r="AB227" i="6"/>
  <c r="AC227" i="6"/>
  <c r="AT228" i="6" l="1"/>
  <c r="BE228" i="6"/>
  <c r="AP228" i="6"/>
  <c r="AC228" i="6"/>
  <c r="AG228" i="6"/>
  <c r="AD228" i="6"/>
  <c r="AN228" i="6"/>
  <c r="AX228" i="6"/>
  <c r="AV228" i="6"/>
  <c r="AS228" i="6"/>
  <c r="AZ228" i="6"/>
  <c r="AE228" i="6"/>
  <c r="BA228" i="6"/>
  <c r="AR228" i="6"/>
  <c r="A229" i="6"/>
  <c r="M229" i="6" s="1"/>
  <c r="AH229" i="6" s="1"/>
  <c r="AJ228" i="6"/>
  <c r="AM228" i="6"/>
  <c r="AI228" i="6"/>
  <c r="AF228" i="6"/>
  <c r="AH228" i="6"/>
  <c r="BB228" i="6"/>
  <c r="BD228" i="6"/>
  <c r="AU228" i="6"/>
  <c r="AY228" i="6"/>
  <c r="AO228" i="6"/>
  <c r="AQ228" i="6"/>
  <c r="AK228" i="6"/>
  <c r="AB228" i="6"/>
  <c r="BG228" i="6"/>
  <c r="BC228" i="6"/>
  <c r="F230" i="5"/>
  <c r="A230" i="12"/>
  <c r="G230" i="5"/>
  <c r="N230" i="5"/>
  <c r="D230" i="6" s="1"/>
  <c r="H230" i="6" s="1"/>
  <c r="T230" i="5" s="1"/>
  <c r="B230" i="6"/>
  <c r="C231" i="5"/>
  <c r="K230" i="5"/>
  <c r="H230" i="5"/>
  <c r="AE230" i="5"/>
  <c r="W230" i="5"/>
  <c r="H230" i="12" s="1"/>
  <c r="D230" i="5"/>
  <c r="B230" i="12" s="1"/>
  <c r="AD230" i="5"/>
  <c r="E230" i="5"/>
  <c r="J230" i="5"/>
  <c r="B230" i="5"/>
  <c r="K228" i="12"/>
  <c r="L229" i="12"/>
  <c r="J229" i="12"/>
  <c r="X225" i="12"/>
  <c r="Y226" i="12"/>
  <c r="W226" i="12" s="1"/>
  <c r="AA227" i="5"/>
  <c r="AB227" i="5"/>
  <c r="C227" i="12"/>
  <c r="AO227" i="12"/>
  <c r="M227" i="12"/>
  <c r="O227" i="12"/>
  <c r="V225" i="12"/>
  <c r="U225" i="12"/>
  <c r="T225" i="12"/>
  <c r="L228" i="5"/>
  <c r="I228" i="12"/>
  <c r="AM228" i="5"/>
  <c r="Z228" i="5"/>
  <c r="N226" i="12"/>
  <c r="D226" i="12"/>
  <c r="E226" i="6"/>
  <c r="G229" i="12"/>
  <c r="X229" i="5"/>
  <c r="C227" i="6"/>
  <c r="O227" i="5"/>
  <c r="X226" i="12" l="1"/>
  <c r="BA229" i="6"/>
  <c r="AN229" i="6"/>
  <c r="AQ229" i="6"/>
  <c r="AI229" i="6"/>
  <c r="AV229" i="6"/>
  <c r="AK229" i="6"/>
  <c r="AM229" i="6"/>
  <c r="AU229" i="6"/>
  <c r="AB229" i="6"/>
  <c r="AT229" i="6"/>
  <c r="AS229" i="6"/>
  <c r="AZ229" i="6"/>
  <c r="AX229" i="6"/>
  <c r="AJ229" i="6"/>
  <c r="BB229" i="6"/>
  <c r="BD229" i="6"/>
  <c r="AP229" i="6"/>
  <c r="BG229" i="6"/>
  <c r="AE229" i="6"/>
  <c r="AG229" i="6"/>
  <c r="BC229" i="6"/>
  <c r="AC229" i="6"/>
  <c r="BE229" i="6"/>
  <c r="AF229" i="6"/>
  <c r="BF229" i="6"/>
  <c r="AO229" i="6"/>
  <c r="AD229" i="6"/>
  <c r="AR229" i="6"/>
  <c r="AY229" i="6"/>
  <c r="A230" i="6"/>
  <c r="M230" i="6" s="1"/>
  <c r="AR230" i="6" s="1"/>
  <c r="E231" i="5"/>
  <c r="J231" i="5"/>
  <c r="N231" i="5"/>
  <c r="D231" i="6" s="1"/>
  <c r="H231" i="6" s="1"/>
  <c r="T231" i="5" s="1"/>
  <c r="AD231" i="5"/>
  <c r="G231" i="5"/>
  <c r="C232" i="5"/>
  <c r="AE231" i="5"/>
  <c r="H231" i="5"/>
  <c r="D231" i="5"/>
  <c r="B231" i="12" s="1"/>
  <c r="K231" i="5"/>
  <c r="B231" i="6"/>
  <c r="B231" i="5"/>
  <c r="A231" i="12"/>
  <c r="F231" i="5"/>
  <c r="W231" i="5"/>
  <c r="H231" i="12" s="1"/>
  <c r="J230" i="12"/>
  <c r="L230" i="12"/>
  <c r="K229" i="12"/>
  <c r="N227" i="12"/>
  <c r="AB228" i="5"/>
  <c r="AA228" i="5"/>
  <c r="C228" i="12"/>
  <c r="O228" i="12"/>
  <c r="M228" i="12"/>
  <c r="AO228" i="12"/>
  <c r="G230" i="12"/>
  <c r="X230" i="5"/>
  <c r="Y227" i="12"/>
  <c r="V226" i="12"/>
  <c r="U226" i="12"/>
  <c r="T226" i="12"/>
  <c r="D227" i="12"/>
  <c r="E227" i="6"/>
  <c r="I229" i="12"/>
  <c r="AM229" i="5"/>
  <c r="L229" i="5"/>
  <c r="Z229" i="5"/>
  <c r="C228" i="6"/>
  <c r="O228" i="5"/>
  <c r="A231" i="6" l="1"/>
  <c r="M231" i="6" s="1"/>
  <c r="AQ231" i="6" s="1"/>
  <c r="AJ230" i="6"/>
  <c r="AO230" i="6"/>
  <c r="AG230" i="6"/>
  <c r="AE230" i="6"/>
  <c r="AB230" i="6"/>
  <c r="AK230" i="6"/>
  <c r="AI230" i="6"/>
  <c r="AD230" i="6"/>
  <c r="BG230" i="6"/>
  <c r="AV230" i="6"/>
  <c r="AH230" i="6"/>
  <c r="BA230" i="6"/>
  <c r="BF230" i="6"/>
  <c r="AZ230" i="6"/>
  <c r="AX230" i="6"/>
  <c r="AP230" i="6"/>
  <c r="AC230" i="6"/>
  <c r="BD230" i="6"/>
  <c r="AQ230" i="6"/>
  <c r="AT230" i="6"/>
  <c r="AU230" i="6"/>
  <c r="AN230" i="6"/>
  <c r="BC230" i="6"/>
  <c r="AF230" i="6"/>
  <c r="BB230" i="6"/>
  <c r="AM230" i="6"/>
  <c r="AY230" i="6"/>
  <c r="BE230" i="6"/>
  <c r="AS230" i="6"/>
  <c r="K230" i="12"/>
  <c r="W232" i="5"/>
  <c r="H232" i="12" s="1"/>
  <c r="E232" i="5"/>
  <c r="A232" i="12"/>
  <c r="H232" i="5"/>
  <c r="F232" i="5"/>
  <c r="AD232" i="5"/>
  <c r="C233" i="5"/>
  <c r="AE232" i="5"/>
  <c r="G232" i="5"/>
  <c r="K232" i="5"/>
  <c r="N232" i="5"/>
  <c r="D232" i="6" s="1"/>
  <c r="H232" i="6" s="1"/>
  <c r="T232" i="5" s="1"/>
  <c r="B232" i="6"/>
  <c r="D232" i="5"/>
  <c r="B232" i="12" s="1"/>
  <c r="B232" i="5"/>
  <c r="J232" i="5"/>
  <c r="L231" i="12"/>
  <c r="J231" i="12"/>
  <c r="Y228" i="12"/>
  <c r="W228" i="12" s="1"/>
  <c r="N228" i="12"/>
  <c r="E228" i="6"/>
  <c r="D228" i="12"/>
  <c r="AB229" i="5"/>
  <c r="AA229" i="5"/>
  <c r="X227" i="12"/>
  <c r="W227" i="12"/>
  <c r="L230" i="5"/>
  <c r="AM230" i="5"/>
  <c r="I230" i="12"/>
  <c r="Z230" i="5"/>
  <c r="C229" i="6"/>
  <c r="O229" i="5"/>
  <c r="C229" i="12"/>
  <c r="O229" i="12"/>
  <c r="M229" i="12"/>
  <c r="AO229" i="12"/>
  <c r="G231" i="12"/>
  <c r="X231" i="5"/>
  <c r="AV231" i="6" l="1"/>
  <c r="BF231" i="6"/>
  <c r="AI231" i="6"/>
  <c r="BG231" i="6"/>
  <c r="BB231" i="6"/>
  <c r="AP231" i="6"/>
  <c r="AE231" i="6"/>
  <c r="AC231" i="6"/>
  <c r="AZ231" i="6"/>
  <c r="AT231" i="6"/>
  <c r="AO231" i="6"/>
  <c r="AB231" i="6"/>
  <c r="AJ231" i="6"/>
  <c r="BA231" i="6"/>
  <c r="AK231" i="6"/>
  <c r="AU231" i="6"/>
  <c r="AN231" i="6"/>
  <c r="BE231" i="6"/>
  <c r="AD231" i="6"/>
  <c r="AG231" i="6"/>
  <c r="AX231" i="6"/>
  <c r="AM231" i="6"/>
  <c r="AY231" i="6"/>
  <c r="BD231" i="6"/>
  <c r="AF231" i="6"/>
  <c r="BC231" i="6"/>
  <c r="AH231" i="6"/>
  <c r="AS231" i="6"/>
  <c r="AR231" i="6"/>
  <c r="A232" i="6"/>
  <c r="M232" i="6" s="1"/>
  <c r="AM232" i="6" s="1"/>
  <c r="K231" i="12"/>
  <c r="A233" i="12"/>
  <c r="B233" i="5"/>
  <c r="J233" i="5"/>
  <c r="F233" i="5"/>
  <c r="AE233" i="5"/>
  <c r="K233" i="5"/>
  <c r="B233" i="6"/>
  <c r="E233" i="5"/>
  <c r="H233" i="5"/>
  <c r="G233" i="5"/>
  <c r="W233" i="5"/>
  <c r="H233" i="12" s="1"/>
  <c r="N233" i="5"/>
  <c r="D233" i="6" s="1"/>
  <c r="H233" i="6" s="1"/>
  <c r="T233" i="5" s="1"/>
  <c r="C234" i="5"/>
  <c r="AD233" i="5"/>
  <c r="D233" i="5"/>
  <c r="B233" i="12" s="1"/>
  <c r="J232" i="12"/>
  <c r="L232" i="12"/>
  <c r="Y229" i="12"/>
  <c r="W229" i="12" s="1"/>
  <c r="X228" i="12"/>
  <c r="N229" i="12"/>
  <c r="L231" i="5"/>
  <c r="I231" i="12"/>
  <c r="AM231" i="5"/>
  <c r="Z231" i="5"/>
  <c r="D229" i="12"/>
  <c r="E229" i="6"/>
  <c r="T228" i="12"/>
  <c r="U228" i="12"/>
  <c r="V228" i="12"/>
  <c r="AB230" i="5"/>
  <c r="AA230" i="5"/>
  <c r="T227" i="12"/>
  <c r="V227" i="12"/>
  <c r="U227" i="12"/>
  <c r="G232" i="12"/>
  <c r="X232" i="5"/>
  <c r="C230" i="12"/>
  <c r="O230" i="12"/>
  <c r="M230" i="12"/>
  <c r="AO230" i="12"/>
  <c r="C230" i="6"/>
  <c r="O230" i="5"/>
  <c r="A233" i="6" l="1"/>
  <c r="M233" i="6" s="1"/>
  <c r="AH233" i="6" s="1"/>
  <c r="AK232" i="6"/>
  <c r="AF232" i="6"/>
  <c r="AG232" i="6"/>
  <c r="AS232" i="6"/>
  <c r="AJ232" i="6"/>
  <c r="AD232" i="6"/>
  <c r="AI232" i="6"/>
  <c r="AC232" i="6"/>
  <c r="AX232" i="6"/>
  <c r="AH232" i="6"/>
  <c r="BB232" i="6"/>
  <c r="AE232" i="6"/>
  <c r="AT232" i="6"/>
  <c r="AP232" i="6"/>
  <c r="AU232" i="6"/>
  <c r="AZ232" i="6"/>
  <c r="K232" i="12"/>
  <c r="AN232" i="6"/>
  <c r="BA232" i="6"/>
  <c r="BE232" i="6"/>
  <c r="BG232" i="6"/>
  <c r="AB232" i="6"/>
  <c r="AR232" i="6"/>
  <c r="AY232" i="6"/>
  <c r="BD232" i="6"/>
  <c r="AQ232" i="6"/>
  <c r="BC232" i="6"/>
  <c r="AV232" i="6"/>
  <c r="AO232" i="6"/>
  <c r="BF232" i="6"/>
  <c r="B234" i="5"/>
  <c r="H234" i="5"/>
  <c r="J234" i="5"/>
  <c r="K234" i="5"/>
  <c r="AE234" i="5"/>
  <c r="B234" i="6"/>
  <c r="AD234" i="5"/>
  <c r="G234" i="5"/>
  <c r="E234" i="5"/>
  <c r="A234" i="12"/>
  <c r="W234" i="5"/>
  <c r="H234" i="12" s="1"/>
  <c r="N234" i="5"/>
  <c r="D234" i="6" s="1"/>
  <c r="H234" i="6" s="1"/>
  <c r="T234" i="5" s="1"/>
  <c r="F234" i="5"/>
  <c r="D234" i="5"/>
  <c r="B234" i="12" s="1"/>
  <c r="C235" i="5"/>
  <c r="L233" i="12"/>
  <c r="J233" i="12"/>
  <c r="Y230" i="12"/>
  <c r="X230" i="12" s="1"/>
  <c r="X229" i="12"/>
  <c r="N230" i="12"/>
  <c r="E230" i="6"/>
  <c r="D230" i="12"/>
  <c r="AM232" i="5"/>
  <c r="L232" i="5"/>
  <c r="I232" i="12"/>
  <c r="Z232" i="5"/>
  <c r="C231" i="6"/>
  <c r="O231" i="5"/>
  <c r="G233" i="12"/>
  <c r="X233" i="5"/>
  <c r="U229" i="12"/>
  <c r="V229" i="12"/>
  <c r="T229" i="12"/>
  <c r="AA231" i="5"/>
  <c r="AB231" i="5"/>
  <c r="C231" i="12"/>
  <c r="M231" i="12"/>
  <c r="AO231" i="12"/>
  <c r="O231" i="12"/>
  <c r="A234" i="6" l="1"/>
  <c r="M234" i="6" s="1"/>
  <c r="K233" i="12"/>
  <c r="N235" i="5"/>
  <c r="D235" i="6" s="1"/>
  <c r="H235" i="6" s="1"/>
  <c r="T235" i="5" s="1"/>
  <c r="E235" i="5"/>
  <c r="B235" i="6"/>
  <c r="K235" i="5"/>
  <c r="H235" i="5"/>
  <c r="W235" i="5"/>
  <c r="H235" i="12" s="1"/>
  <c r="J235" i="5"/>
  <c r="C236" i="5"/>
  <c r="A235" i="12"/>
  <c r="B235" i="5"/>
  <c r="G235" i="5"/>
  <c r="AE235" i="5"/>
  <c r="F235" i="5"/>
  <c r="D235" i="5"/>
  <c r="B235" i="12" s="1"/>
  <c r="AD235" i="5"/>
  <c r="L234" i="12"/>
  <c r="J234" i="12"/>
  <c r="W230" i="12"/>
  <c r="U230" i="12" s="1"/>
  <c r="N231" i="12"/>
  <c r="G234" i="12"/>
  <c r="X234" i="5"/>
  <c r="I233" i="12"/>
  <c r="AM233" i="5"/>
  <c r="L233" i="5"/>
  <c r="Z233" i="5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AA232" i="5"/>
  <c r="AB232" i="5"/>
  <c r="C232" i="6"/>
  <c r="O232" i="5"/>
  <c r="Y231" i="12"/>
  <c r="AK233" i="6"/>
  <c r="AG233" i="6"/>
  <c r="C232" i="12"/>
  <c r="O232" i="12"/>
  <c r="AO232" i="12"/>
  <c r="M232" i="12"/>
  <c r="AY234" i="6" l="1"/>
  <c r="AH234" i="6"/>
  <c r="A235" i="6"/>
  <c r="M235" i="6" s="1"/>
  <c r="AX235" i="6" s="1"/>
  <c r="K234" i="12"/>
  <c r="AN234" i="6"/>
  <c r="B236" i="5"/>
  <c r="G236" i="5"/>
  <c r="D236" i="5"/>
  <c r="B236" i="12" s="1"/>
  <c r="AE236" i="5"/>
  <c r="A236" i="12"/>
  <c r="F236" i="5"/>
  <c r="H236" i="5"/>
  <c r="AD236" i="5"/>
  <c r="B236" i="6"/>
  <c r="J236" i="5"/>
  <c r="N236" i="5"/>
  <c r="D236" i="6" s="1"/>
  <c r="H236" i="6" s="1"/>
  <c r="T236" i="5" s="1"/>
  <c r="E236" i="5"/>
  <c r="C237" i="5"/>
  <c r="W236" i="5"/>
  <c r="H236" i="12" s="1"/>
  <c r="K236" i="5"/>
  <c r="L235" i="12"/>
  <c r="J235" i="12"/>
  <c r="AM234" i="6"/>
  <c r="AE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N232" i="12"/>
  <c r="X231" i="12"/>
  <c r="W231" i="12"/>
  <c r="E232" i="6"/>
  <c r="D232" i="12"/>
  <c r="G235" i="12"/>
  <c r="X235" i="5"/>
  <c r="AA233" i="5"/>
  <c r="AB233" i="5"/>
  <c r="I234" i="12"/>
  <c r="L234" i="5"/>
  <c r="AM234" i="5"/>
  <c r="Z234" i="5"/>
  <c r="Y232" i="12"/>
  <c r="C233" i="6"/>
  <c r="O233" i="5"/>
  <c r="C233" i="12"/>
  <c r="AO233" i="12"/>
  <c r="M233" i="12"/>
  <c r="O233" i="12"/>
  <c r="A236" i="6" l="1"/>
  <c r="M236" i="6" s="1"/>
  <c r="AB236" i="6" s="1"/>
  <c r="K235" i="12"/>
  <c r="E237" i="5"/>
  <c r="AD237" i="5"/>
  <c r="W237" i="5"/>
  <c r="H237" i="12" s="1"/>
  <c r="K237" i="5"/>
  <c r="B237" i="5"/>
  <c r="H237" i="5"/>
  <c r="F237" i="5"/>
  <c r="C238" i="5"/>
  <c r="A237" i="12"/>
  <c r="D237" i="5"/>
  <c r="B237" i="12" s="1"/>
  <c r="B237" i="6"/>
  <c r="AE237" i="5"/>
  <c r="G237" i="5"/>
  <c r="J237" i="5"/>
  <c r="N237" i="5"/>
  <c r="D237" i="6" s="1"/>
  <c r="H237" i="6" s="1"/>
  <c r="T237" i="5" s="1"/>
  <c r="L236" i="12"/>
  <c r="J236" i="12"/>
  <c r="AJ235" i="6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AB234" i="5"/>
  <c r="AA234" i="5"/>
  <c r="C234" i="6"/>
  <c r="O234" i="5"/>
  <c r="L235" i="5"/>
  <c r="AM235" i="5"/>
  <c r="I235" i="12"/>
  <c r="Z235" i="5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U231" i="12"/>
  <c r="T231" i="12"/>
  <c r="V231" i="12"/>
  <c r="K236" i="12" l="1"/>
  <c r="A237" i="6"/>
  <c r="M237" i="6" s="1"/>
  <c r="BB237" i="6" s="1"/>
  <c r="A238" i="12"/>
  <c r="W238" i="5"/>
  <c r="H238" i="12" s="1"/>
  <c r="F238" i="5"/>
  <c r="B238" i="6"/>
  <c r="K238" i="5"/>
  <c r="E238" i="5"/>
  <c r="N238" i="5"/>
  <c r="D238" i="6" s="1"/>
  <c r="H238" i="6" s="1"/>
  <c r="T238" i="5" s="1"/>
  <c r="AD238" i="5"/>
  <c r="H238" i="5"/>
  <c r="G238" i="5"/>
  <c r="B238" i="5"/>
  <c r="C239" i="5"/>
  <c r="D238" i="5"/>
  <c r="B238" i="12" s="1"/>
  <c r="J238" i="5"/>
  <c r="AE238" i="5"/>
  <c r="J237" i="12"/>
  <c r="L237" i="12"/>
  <c r="AR236" i="6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Z236" i="6"/>
  <c r="AQ236" i="6"/>
  <c r="AG236" i="6"/>
  <c r="AF236" i="6"/>
  <c r="AS236" i="6"/>
  <c r="AN236" i="6"/>
  <c r="AH236" i="6"/>
  <c r="AY236" i="6"/>
  <c r="AO236" i="6"/>
  <c r="AA235" i="5"/>
  <c r="AB235" i="5"/>
  <c r="C235" i="12"/>
  <c r="O235" i="12"/>
  <c r="AO235" i="12"/>
  <c r="M235" i="12"/>
  <c r="C235" i="6"/>
  <c r="O235" i="5"/>
  <c r="G237" i="12"/>
  <c r="X237" i="5"/>
  <c r="N234" i="12"/>
  <c r="U232" i="12"/>
  <c r="T232" i="12"/>
  <c r="V232" i="12"/>
  <c r="L236" i="5"/>
  <c r="I236" i="12"/>
  <c r="AM236" i="5"/>
  <c r="Z236" i="5"/>
  <c r="X233" i="12"/>
  <c r="W233" i="12"/>
  <c r="E234" i="6"/>
  <c r="D234" i="12"/>
  <c r="AQ237" i="6" l="1"/>
  <c r="AU237" i="6"/>
  <c r="AE237" i="6"/>
  <c r="AC237" i="6"/>
  <c r="AJ237" i="6"/>
  <c r="BC237" i="6"/>
  <c r="AS237" i="6"/>
  <c r="AX237" i="6"/>
  <c r="AI237" i="6"/>
  <c r="AN237" i="6"/>
  <c r="AO237" i="6"/>
  <c r="BG237" i="6"/>
  <c r="BF237" i="6"/>
  <c r="AG237" i="6"/>
  <c r="AT237" i="6"/>
  <c r="AZ237" i="6"/>
  <c r="AY237" i="6"/>
  <c r="AR237" i="6"/>
  <c r="BE237" i="6"/>
  <c r="AD237" i="6"/>
  <c r="AF237" i="6"/>
  <c r="AP237" i="6"/>
  <c r="BD237" i="6"/>
  <c r="AK237" i="6"/>
  <c r="BA237" i="6"/>
  <c r="AM237" i="6"/>
  <c r="AB237" i="6"/>
  <c r="AH237" i="6"/>
  <c r="AV237" i="6"/>
  <c r="A238" i="6"/>
  <c r="M238" i="6" s="1"/>
  <c r="BB238" i="6" s="1"/>
  <c r="K239" i="5"/>
  <c r="C240" i="5"/>
  <c r="E239" i="5"/>
  <c r="W239" i="5"/>
  <c r="H239" i="12" s="1"/>
  <c r="D239" i="5"/>
  <c r="B239" i="12" s="1"/>
  <c r="B239" i="5"/>
  <c r="AE239" i="5"/>
  <c r="N239" i="5"/>
  <c r="D239" i="6" s="1"/>
  <c r="H239" i="6" s="1"/>
  <c r="T239" i="5" s="1"/>
  <c r="J239" i="5"/>
  <c r="G239" i="5"/>
  <c r="AD239" i="5"/>
  <c r="B239" i="6"/>
  <c r="A239" i="12"/>
  <c r="F239" i="5"/>
  <c r="H239" i="5"/>
  <c r="K237" i="12"/>
  <c r="J238" i="12"/>
  <c r="L238" i="12"/>
  <c r="X234" i="12"/>
  <c r="C236" i="6"/>
  <c r="O236" i="5"/>
  <c r="I237" i="12"/>
  <c r="L237" i="5"/>
  <c r="AM237" i="5"/>
  <c r="Z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Y235" i="12"/>
  <c r="A239" i="6" l="1"/>
  <c r="M239" i="6" s="1"/>
  <c r="AS239" i="6" s="1"/>
  <c r="K238" i="12"/>
  <c r="E240" i="5"/>
  <c r="AE240" i="5"/>
  <c r="D240" i="5"/>
  <c r="B240" i="12" s="1"/>
  <c r="G240" i="5"/>
  <c r="B240" i="6"/>
  <c r="A240" i="12"/>
  <c r="K240" i="5"/>
  <c r="J240" i="5"/>
  <c r="B240" i="5"/>
  <c r="W240" i="5"/>
  <c r="H240" i="12" s="1"/>
  <c r="H240" i="5"/>
  <c r="N240" i="5"/>
  <c r="D240" i="6" s="1"/>
  <c r="H240" i="6" s="1"/>
  <c r="T240" i="5" s="1"/>
  <c r="C241" i="5"/>
  <c r="AD240" i="5"/>
  <c r="F240" i="5"/>
  <c r="J239" i="12"/>
  <c r="L239" i="12"/>
  <c r="AN238" i="6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Y236" i="12"/>
  <c r="X236" i="12" s="1"/>
  <c r="G239" i="12"/>
  <c r="X239" i="5"/>
  <c r="AB237" i="5"/>
  <c r="AA237" i="5"/>
  <c r="C237" i="12"/>
  <c r="O237" i="12"/>
  <c r="AO237" i="12"/>
  <c r="M237" i="12"/>
  <c r="E236" i="6"/>
  <c r="D236" i="12"/>
  <c r="W235" i="12"/>
  <c r="X235" i="12"/>
  <c r="N236" i="12"/>
  <c r="AM238" i="5"/>
  <c r="L238" i="5"/>
  <c r="I238" i="12"/>
  <c r="Z238" i="5"/>
  <c r="C237" i="6"/>
  <c r="O237" i="5"/>
  <c r="BG239" i="6" l="1"/>
  <c r="BA239" i="6"/>
  <c r="BB239" i="6"/>
  <c r="AE239" i="6"/>
  <c r="AR239" i="6"/>
  <c r="AB239" i="6"/>
  <c r="AY239" i="6"/>
  <c r="AJ239" i="6"/>
  <c r="BC239" i="6"/>
  <c r="AQ239" i="6"/>
  <c r="AC239" i="6"/>
  <c r="AZ239" i="6"/>
  <c r="BD239" i="6"/>
  <c r="AF239" i="6"/>
  <c r="AM239" i="6"/>
  <c r="AT239" i="6"/>
  <c r="AD239" i="6"/>
  <c r="AH239" i="6"/>
  <c r="AK239" i="6"/>
  <c r="AO239" i="6"/>
  <c r="AX239" i="6"/>
  <c r="AG239" i="6"/>
  <c r="BF239" i="6"/>
  <c r="BE239" i="6"/>
  <c r="AN239" i="6"/>
  <c r="AU239" i="6"/>
  <c r="AP239" i="6"/>
  <c r="AI239" i="6"/>
  <c r="AV239" i="6"/>
  <c r="A240" i="6"/>
  <c r="M240" i="6" s="1"/>
  <c r="AD240" i="6" s="1"/>
  <c r="K239" i="12"/>
  <c r="L240" i="12"/>
  <c r="J240" i="12"/>
  <c r="E241" i="5"/>
  <c r="C242" i="5"/>
  <c r="A241" i="12"/>
  <c r="K241" i="5"/>
  <c r="AE241" i="5"/>
  <c r="F241" i="5"/>
  <c r="H241" i="5"/>
  <c r="AD241" i="5"/>
  <c r="B241" i="5"/>
  <c r="G241" i="5"/>
  <c r="J241" i="5"/>
  <c r="B241" i="6"/>
  <c r="N241" i="5"/>
  <c r="D241" i="6" s="1"/>
  <c r="H241" i="6" s="1"/>
  <c r="T241" i="5" s="1"/>
  <c r="W241" i="5"/>
  <c r="H241" i="12" s="1"/>
  <c r="D241" i="5"/>
  <c r="B241" i="12" s="1"/>
  <c r="W236" i="12"/>
  <c r="V236" i="12" s="1"/>
  <c r="E237" i="6"/>
  <c r="D237" i="12"/>
  <c r="C238" i="6"/>
  <c r="O238" i="5"/>
  <c r="U235" i="12"/>
  <c r="T235" i="12"/>
  <c r="V235" i="12"/>
  <c r="N237" i="12"/>
  <c r="I239" i="12"/>
  <c r="AM239" i="5"/>
  <c r="L239" i="5"/>
  <c r="Z239" i="5"/>
  <c r="AA238" i="5"/>
  <c r="AB238" i="5"/>
  <c r="C238" i="12"/>
  <c r="AO238" i="12"/>
  <c r="O238" i="12"/>
  <c r="M238" i="12"/>
  <c r="Y237" i="12"/>
  <c r="G240" i="12"/>
  <c r="X240" i="5"/>
  <c r="U236" i="12" l="1"/>
  <c r="K240" i="12"/>
  <c r="A241" i="6"/>
  <c r="M241" i="6" s="1"/>
  <c r="AB241" i="6" s="1"/>
  <c r="A242" i="12"/>
  <c r="W242" i="5"/>
  <c r="H242" i="12" s="1"/>
  <c r="C243" i="5"/>
  <c r="N242" i="5"/>
  <c r="D242" i="6" s="1"/>
  <c r="H242" i="6" s="1"/>
  <c r="T242" i="5" s="1"/>
  <c r="K242" i="5"/>
  <c r="AD242" i="5"/>
  <c r="AE242" i="5"/>
  <c r="B242" i="6"/>
  <c r="H242" i="5"/>
  <c r="B242" i="5"/>
  <c r="G242" i="5"/>
  <c r="F242" i="5"/>
  <c r="J242" i="5"/>
  <c r="E242" i="5"/>
  <c r="D242" i="5"/>
  <c r="B242" i="12" s="1"/>
  <c r="J241" i="12"/>
  <c r="L241" i="12"/>
  <c r="T236" i="12"/>
  <c r="AG240" i="6"/>
  <c r="N238" i="12"/>
  <c r="AB239" i="5"/>
  <c r="AA239" i="5"/>
  <c r="C239" i="6"/>
  <c r="O239" i="5"/>
  <c r="C239" i="12"/>
  <c r="O239" i="12"/>
  <c r="AO239" i="12"/>
  <c r="M239" i="12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X237" i="12"/>
  <c r="W237" i="12"/>
  <c r="Y238" i="12"/>
  <c r="G241" i="12"/>
  <c r="X241" i="5"/>
  <c r="A242" i="6" l="1"/>
  <c r="M242" i="6" s="1"/>
  <c r="AT242" i="6" s="1"/>
  <c r="AV241" i="6"/>
  <c r="AF241" i="6"/>
  <c r="AG241" i="6"/>
  <c r="AK241" i="6"/>
  <c r="BF241" i="6"/>
  <c r="AS241" i="6"/>
  <c r="AR241" i="6"/>
  <c r="AQ241" i="6"/>
  <c r="AT241" i="6"/>
  <c r="AD241" i="6"/>
  <c r="AJ241" i="6"/>
  <c r="BE241" i="6"/>
  <c r="AN241" i="6"/>
  <c r="AZ241" i="6"/>
  <c r="AY241" i="6"/>
  <c r="AI241" i="6"/>
  <c r="AC241" i="6"/>
  <c r="AX241" i="6"/>
  <c r="AO241" i="6"/>
  <c r="BD241" i="6"/>
  <c r="AP241" i="6"/>
  <c r="AE241" i="6"/>
  <c r="AU241" i="6"/>
  <c r="BG241" i="6"/>
  <c r="BA241" i="6"/>
  <c r="AH241" i="6"/>
  <c r="BB241" i="6"/>
  <c r="AM241" i="6"/>
  <c r="BC241" i="6"/>
  <c r="B243" i="6"/>
  <c r="W243" i="5"/>
  <c r="H243" i="12" s="1"/>
  <c r="K243" i="5"/>
  <c r="B243" i="5"/>
  <c r="C244" i="5"/>
  <c r="F243" i="5"/>
  <c r="D243" i="5"/>
  <c r="B243" i="12" s="1"/>
  <c r="AE243" i="5"/>
  <c r="H243" i="5"/>
  <c r="E243" i="5"/>
  <c r="AD243" i="5"/>
  <c r="J243" i="5"/>
  <c r="A243" i="12"/>
  <c r="G243" i="5"/>
  <c r="N243" i="5"/>
  <c r="D243" i="6" s="1"/>
  <c r="K241" i="12"/>
  <c r="L242" i="12"/>
  <c r="J242" i="12"/>
  <c r="L241" i="5"/>
  <c r="AM241" i="5"/>
  <c r="I241" i="12"/>
  <c r="Z241" i="5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T237" i="12"/>
  <c r="U237" i="12"/>
  <c r="V237" i="12"/>
  <c r="AB240" i="5"/>
  <c r="AA240" i="5"/>
  <c r="Y239" i="12"/>
  <c r="BC242" i="6" l="1"/>
  <c r="BA242" i="6"/>
  <c r="AE242" i="6"/>
  <c r="BE242" i="6"/>
  <c r="AP242" i="6"/>
  <c r="AY242" i="6"/>
  <c r="AH242" i="6"/>
  <c r="AQ242" i="6"/>
  <c r="BB242" i="6"/>
  <c r="AO242" i="6"/>
  <c r="BF242" i="6"/>
  <c r="AG242" i="6"/>
  <c r="AZ242" i="6"/>
  <c r="BG242" i="6"/>
  <c r="AF242" i="6"/>
  <c r="AM242" i="6"/>
  <c r="AU242" i="6"/>
  <c r="AK242" i="6"/>
  <c r="BD242" i="6"/>
  <c r="AJ242" i="6"/>
  <c r="AX242" i="6"/>
  <c r="AD242" i="6"/>
  <c r="AB242" i="6"/>
  <c r="AS242" i="6"/>
  <c r="AN242" i="6"/>
  <c r="AR242" i="6"/>
  <c r="AC242" i="6"/>
  <c r="AI242" i="6"/>
  <c r="AV242" i="6"/>
  <c r="A243" i="6"/>
  <c r="M243" i="6" s="1"/>
  <c r="H243" i="6"/>
  <c r="T243" i="5" s="1"/>
  <c r="X243" i="5" s="1"/>
  <c r="K242" i="12"/>
  <c r="J243" i="12"/>
  <c r="L243" i="12"/>
  <c r="C245" i="5"/>
  <c r="D244" i="5"/>
  <c r="B244" i="12" s="1"/>
  <c r="A244" i="12"/>
  <c r="AD244" i="5"/>
  <c r="G244" i="5"/>
  <c r="AE244" i="5"/>
  <c r="J244" i="5"/>
  <c r="H244" i="5"/>
  <c r="K244" i="5"/>
  <c r="F244" i="5"/>
  <c r="B244" i="6"/>
  <c r="N244" i="5"/>
  <c r="D244" i="6" s="1"/>
  <c r="H244" i="6" s="1"/>
  <c r="T244" i="5" s="1"/>
  <c r="B244" i="5"/>
  <c r="E244" i="5"/>
  <c r="W244" i="5"/>
  <c r="H244" i="12" s="1"/>
  <c r="N240" i="12"/>
  <c r="U238" i="12"/>
  <c r="T238" i="12"/>
  <c r="V238" i="12"/>
  <c r="C241" i="12"/>
  <c r="M241" i="12"/>
  <c r="AO241" i="12"/>
  <c r="O241" i="12"/>
  <c r="C241" i="6"/>
  <c r="O241" i="5"/>
  <c r="X239" i="12"/>
  <c r="W239" i="12"/>
  <c r="L242" i="5"/>
  <c r="AM242" i="5"/>
  <c r="I242" i="12"/>
  <c r="Z242" i="5"/>
  <c r="D240" i="12"/>
  <c r="E240" i="6"/>
  <c r="Y240" i="12"/>
  <c r="AA241" i="5"/>
  <c r="AB241" i="5"/>
  <c r="G243" i="12" l="1"/>
  <c r="AF243" i="6"/>
  <c r="A244" i="6"/>
  <c r="M244" i="6" s="1"/>
  <c r="AU244" i="6" s="1"/>
  <c r="K243" i="12"/>
  <c r="F245" i="5"/>
  <c r="K245" i="5"/>
  <c r="G245" i="5"/>
  <c r="J245" i="5"/>
  <c r="C246" i="5"/>
  <c r="N245" i="5"/>
  <c r="D245" i="6" s="1"/>
  <c r="H245" i="6" s="1"/>
  <c r="T245" i="5" s="1"/>
  <c r="D245" i="5"/>
  <c r="B245" i="12" s="1"/>
  <c r="AD245" i="5"/>
  <c r="B245" i="5"/>
  <c r="AE245" i="5"/>
  <c r="H245" i="5"/>
  <c r="B245" i="6"/>
  <c r="E245" i="5"/>
  <c r="A245" i="12"/>
  <c r="W245" i="5"/>
  <c r="H245" i="12" s="1"/>
  <c r="L244" i="12"/>
  <c r="J244" i="12"/>
  <c r="N241" i="12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I243" i="6"/>
  <c r="AH243" i="6"/>
  <c r="AM243" i="5"/>
  <c r="I243" i="12"/>
  <c r="L243" i="5"/>
  <c r="Z243" i="5"/>
  <c r="AK243" i="6"/>
  <c r="AG243" i="6"/>
  <c r="AC243" i="6"/>
  <c r="Y241" i="12"/>
  <c r="G244" i="12"/>
  <c r="X244" i="5"/>
  <c r="AJ243" i="6"/>
  <c r="AD243" i="6"/>
  <c r="AG244" i="6" l="1"/>
  <c r="AJ244" i="6"/>
  <c r="BC244" i="6"/>
  <c r="AH244" i="6"/>
  <c r="AF244" i="6"/>
  <c r="AB244" i="6"/>
  <c r="AE244" i="6"/>
  <c r="AD244" i="6"/>
  <c r="AK244" i="6"/>
  <c r="AC244" i="6"/>
  <c r="BE244" i="6"/>
  <c r="AO244" i="6"/>
  <c r="AR244" i="6"/>
  <c r="BB244" i="6"/>
  <c r="AX244" i="6"/>
  <c r="AV244" i="6"/>
  <c r="AN244" i="6"/>
  <c r="AZ244" i="6"/>
  <c r="AS244" i="6"/>
  <c r="BF244" i="6"/>
  <c r="AI244" i="6"/>
  <c r="AP244" i="6"/>
  <c r="BA244" i="6"/>
  <c r="BD244" i="6"/>
  <c r="AY244" i="6"/>
  <c r="AT244" i="6"/>
  <c r="AQ244" i="6"/>
  <c r="A245" i="6"/>
  <c r="M245" i="6" s="1"/>
  <c r="AM245" i="6" s="1"/>
  <c r="BG244" i="6"/>
  <c r="AM244" i="6"/>
  <c r="K244" i="12"/>
  <c r="L245" i="12"/>
  <c r="J245" i="12"/>
  <c r="K246" i="5"/>
  <c r="N246" i="5"/>
  <c r="D246" i="6" s="1"/>
  <c r="H246" i="6" s="1"/>
  <c r="T246" i="5" s="1"/>
  <c r="AD246" i="5"/>
  <c r="J246" i="5"/>
  <c r="F246" i="5"/>
  <c r="D246" i="5"/>
  <c r="B246" i="12" s="1"/>
  <c r="AE246" i="5"/>
  <c r="A246" i="12"/>
  <c r="W246" i="5"/>
  <c r="H246" i="12" s="1"/>
  <c r="B246" i="5"/>
  <c r="C247" i="5"/>
  <c r="B246" i="6"/>
  <c r="G246" i="5"/>
  <c r="E246" i="5"/>
  <c r="H246" i="5"/>
  <c r="N242" i="12"/>
  <c r="AM244" i="5"/>
  <c r="I244" i="12"/>
  <c r="L244" i="5"/>
  <c r="Z244" i="5"/>
  <c r="X241" i="12"/>
  <c r="W241" i="12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AB243" i="5"/>
  <c r="AA243" i="5"/>
  <c r="C243" i="6"/>
  <c r="O243" i="5"/>
  <c r="AB245" i="6" l="1"/>
  <c r="AC245" i="6"/>
  <c r="BD245" i="6"/>
  <c r="AG245" i="6"/>
  <c r="AZ245" i="6"/>
  <c r="AI245" i="6"/>
  <c r="AD245" i="6"/>
  <c r="AX245" i="6"/>
  <c r="AU245" i="6"/>
  <c r="AP245" i="6"/>
  <c r="AV245" i="6"/>
  <c r="AS245" i="6"/>
  <c r="AF245" i="6"/>
  <c r="AJ245" i="6"/>
  <c r="BF245" i="6"/>
  <c r="BG245" i="6"/>
  <c r="BC245" i="6"/>
  <c r="AK245" i="6"/>
  <c r="AO245" i="6"/>
  <c r="AH245" i="6"/>
  <c r="AR245" i="6"/>
  <c r="BE245" i="6"/>
  <c r="AQ245" i="6"/>
  <c r="AY245" i="6"/>
  <c r="BB245" i="6"/>
  <c r="BA245" i="6"/>
  <c r="AE245" i="6"/>
  <c r="AT245" i="6"/>
  <c r="AN245" i="6"/>
  <c r="A246" i="6"/>
  <c r="M246" i="6" s="1"/>
  <c r="AB246" i="6" s="1"/>
  <c r="K245" i="12"/>
  <c r="L246" i="12"/>
  <c r="J246" i="12"/>
  <c r="E247" i="5"/>
  <c r="C248" i="5"/>
  <c r="K247" i="5"/>
  <c r="AD247" i="5"/>
  <c r="G247" i="5"/>
  <c r="D247" i="5"/>
  <c r="B247" i="12" s="1"/>
  <c r="B247" i="6"/>
  <c r="W247" i="5"/>
  <c r="H247" i="12" s="1"/>
  <c r="A247" i="12"/>
  <c r="B247" i="5"/>
  <c r="F247" i="5"/>
  <c r="N247" i="5"/>
  <c r="D247" i="6" s="1"/>
  <c r="AE247" i="5"/>
  <c r="H247" i="5"/>
  <c r="J247" i="5"/>
  <c r="Y243" i="12"/>
  <c r="W243" i="12" s="1"/>
  <c r="E243" i="6"/>
  <c r="D243" i="12"/>
  <c r="AM245" i="5"/>
  <c r="I245" i="12"/>
  <c r="L245" i="5"/>
  <c r="Z245" i="5"/>
  <c r="X242" i="12"/>
  <c r="W242" i="12"/>
  <c r="V241" i="12"/>
  <c r="U241" i="12"/>
  <c r="T241" i="12"/>
  <c r="C244" i="12"/>
  <c r="O244" i="12"/>
  <c r="M244" i="12"/>
  <c r="AO244" i="12"/>
  <c r="N243" i="12"/>
  <c r="G246" i="12"/>
  <c r="X246" i="5"/>
  <c r="AB244" i="5"/>
  <c r="AA244" i="5"/>
  <c r="C244" i="6"/>
  <c r="O244" i="5"/>
  <c r="A247" i="6" l="1"/>
  <c r="M247" i="6" s="1"/>
  <c r="K246" i="12"/>
  <c r="H247" i="6"/>
  <c r="T247" i="5" s="1"/>
  <c r="X247" i="5" s="1"/>
  <c r="D248" i="5"/>
  <c r="B248" i="12" s="1"/>
  <c r="J248" i="5"/>
  <c r="C249" i="5"/>
  <c r="AD248" i="5"/>
  <c r="B248" i="5"/>
  <c r="K248" i="5"/>
  <c r="N248" i="5"/>
  <c r="D248" i="6" s="1"/>
  <c r="H248" i="6" s="1"/>
  <c r="T248" i="5" s="1"/>
  <c r="F248" i="5"/>
  <c r="B248" i="6"/>
  <c r="G248" i="5"/>
  <c r="AE248" i="5"/>
  <c r="W248" i="5"/>
  <c r="H248" i="12" s="1"/>
  <c r="A248" i="12"/>
  <c r="H248" i="5"/>
  <c r="E248" i="5"/>
  <c r="L247" i="12"/>
  <c r="J247" i="12"/>
  <c r="AF246" i="6"/>
  <c r="Y244" i="12"/>
  <c r="X244" i="12" s="1"/>
  <c r="X243" i="12"/>
  <c r="E244" i="6"/>
  <c r="D244" i="12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N244" i="12"/>
  <c r="U242" i="12"/>
  <c r="T242" i="12"/>
  <c r="V242" i="12"/>
  <c r="C245" i="12"/>
  <c r="AO245" i="12"/>
  <c r="O245" i="12"/>
  <c r="M245" i="12"/>
  <c r="G247" i="12" l="1"/>
  <c r="K247" i="12"/>
  <c r="A248" i="6"/>
  <c r="M248" i="6" s="1"/>
  <c r="BG248" i="6" s="1"/>
  <c r="B249" i="5"/>
  <c r="C250" i="5"/>
  <c r="E249" i="5"/>
  <c r="D249" i="5"/>
  <c r="B249" i="12" s="1"/>
  <c r="A249" i="12"/>
  <c r="AE249" i="5"/>
  <c r="J249" i="5"/>
  <c r="N249" i="5"/>
  <c r="D249" i="6" s="1"/>
  <c r="H249" i="6" s="1"/>
  <c r="T249" i="5" s="1"/>
  <c r="B249" i="6"/>
  <c r="F249" i="5"/>
  <c r="K249" i="5"/>
  <c r="AD249" i="5"/>
  <c r="H249" i="5"/>
  <c r="G249" i="5"/>
  <c r="W249" i="5"/>
  <c r="H249" i="12" s="1"/>
  <c r="J248" i="12"/>
  <c r="L248" i="12"/>
  <c r="W244" i="12"/>
  <c r="U244" i="12" s="1"/>
  <c r="Y245" i="12"/>
  <c r="W245" i="12" s="1"/>
  <c r="AM247" i="5"/>
  <c r="L247" i="5"/>
  <c r="I247" i="12"/>
  <c r="Z247" i="5"/>
  <c r="C246" i="6"/>
  <c r="O246" i="5"/>
  <c r="N245" i="12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249" i="6" l="1"/>
  <c r="M249" i="6" s="1"/>
  <c r="BA249" i="6" s="1"/>
  <c r="K248" i="12"/>
  <c r="B250" i="5"/>
  <c r="W250" i="5"/>
  <c r="H250" i="12" s="1"/>
  <c r="G250" i="5"/>
  <c r="E250" i="5"/>
  <c r="AE250" i="5"/>
  <c r="D250" i="5"/>
  <c r="B250" i="12" s="1"/>
  <c r="AD250" i="5"/>
  <c r="A250" i="12"/>
  <c r="C251" i="5"/>
  <c r="H250" i="5"/>
  <c r="F250" i="5"/>
  <c r="N250" i="5"/>
  <c r="D250" i="6" s="1"/>
  <c r="H250" i="6" s="1"/>
  <c r="T250" i="5" s="1"/>
  <c r="K250" i="5"/>
  <c r="J250" i="5"/>
  <c r="B250" i="6"/>
  <c r="J249" i="12"/>
  <c r="L249" i="12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Y246" i="12"/>
  <c r="X246" i="12" s="1"/>
  <c r="G249" i="12"/>
  <c r="X249" i="5"/>
  <c r="AA247" i="5"/>
  <c r="AB247" i="5"/>
  <c r="C247" i="6"/>
  <c r="O247" i="5"/>
  <c r="T245" i="12"/>
  <c r="V245" i="12"/>
  <c r="U245" i="12"/>
  <c r="I248" i="12"/>
  <c r="L248" i="5"/>
  <c r="AM248" i="5"/>
  <c r="Z248" i="5"/>
  <c r="N246" i="12"/>
  <c r="E246" i="6"/>
  <c r="D246" i="12"/>
  <c r="C247" i="12"/>
  <c r="AO247" i="12"/>
  <c r="O247" i="12"/>
  <c r="M247" i="12"/>
  <c r="A250" i="6" l="1"/>
  <c r="M250" i="6" s="1"/>
  <c r="AK250" i="6" s="1"/>
  <c r="K249" i="12"/>
  <c r="AH249" i="6"/>
  <c r="AC249" i="6"/>
  <c r="AQ249" i="6"/>
  <c r="AB249" i="6"/>
  <c r="AF249" i="6"/>
  <c r="AS249" i="6"/>
  <c r="J250" i="12"/>
  <c r="L250" i="12"/>
  <c r="K251" i="5"/>
  <c r="D251" i="5"/>
  <c r="B251" i="12" s="1"/>
  <c r="G251" i="5"/>
  <c r="N251" i="5"/>
  <c r="D251" i="6" s="1"/>
  <c r="H251" i="6" s="1"/>
  <c r="T251" i="5" s="1"/>
  <c r="F251" i="5"/>
  <c r="B251" i="6"/>
  <c r="H251" i="5"/>
  <c r="E251" i="5"/>
  <c r="AD251" i="5"/>
  <c r="C252" i="5"/>
  <c r="AE251" i="5"/>
  <c r="J251" i="5"/>
  <c r="A251" i="12"/>
  <c r="W251" i="5"/>
  <c r="H251" i="12" s="1"/>
  <c r="B251" i="5"/>
  <c r="AO249" i="6"/>
  <c r="AD249" i="6"/>
  <c r="AT249" i="6"/>
  <c r="AI249" i="6"/>
  <c r="AX249" i="6"/>
  <c r="AJ249" i="6"/>
  <c r="AN249" i="6"/>
  <c r="AR249" i="6"/>
  <c r="BC249" i="6"/>
  <c r="AK249" i="6"/>
  <c r="AV249" i="6"/>
  <c r="AZ249" i="6"/>
  <c r="AU249" i="6"/>
  <c r="BB249" i="6"/>
  <c r="AM249" i="6"/>
  <c r="BF249" i="6"/>
  <c r="AP249" i="6"/>
  <c r="AE249" i="6"/>
  <c r="BG249" i="6"/>
  <c r="BE249" i="6"/>
  <c r="AY249" i="6"/>
  <c r="BD249" i="6"/>
  <c r="AG249" i="6"/>
  <c r="W246" i="12"/>
  <c r="T246" i="12" s="1"/>
  <c r="N247" i="12"/>
  <c r="C248" i="12"/>
  <c r="O248" i="12"/>
  <c r="AO248" i="12"/>
  <c r="M248" i="12"/>
  <c r="D247" i="12"/>
  <c r="E247" i="6"/>
  <c r="AM249" i="5"/>
  <c r="L249" i="5"/>
  <c r="I249" i="12"/>
  <c r="Z249" i="5"/>
  <c r="Y247" i="12"/>
  <c r="AB248" i="5"/>
  <c r="AA248" i="5"/>
  <c r="C248" i="6"/>
  <c r="O248" i="5"/>
  <c r="G250" i="12"/>
  <c r="X250" i="5"/>
  <c r="A251" i="6" l="1"/>
  <c r="M251" i="6" s="1"/>
  <c r="BE251" i="6" s="1"/>
  <c r="K250" i="12"/>
  <c r="B252" i="6"/>
  <c r="K252" i="5"/>
  <c r="C253" i="5"/>
  <c r="G252" i="5"/>
  <c r="J252" i="5"/>
  <c r="E252" i="5"/>
  <c r="AE252" i="5"/>
  <c r="W252" i="5"/>
  <c r="H252" i="12" s="1"/>
  <c r="A252" i="12"/>
  <c r="H252" i="5"/>
  <c r="D252" i="5"/>
  <c r="B252" i="12" s="1"/>
  <c r="AD252" i="5"/>
  <c r="N252" i="5"/>
  <c r="D252" i="6" s="1"/>
  <c r="H252" i="6" s="1"/>
  <c r="T252" i="5" s="1"/>
  <c r="F252" i="5"/>
  <c r="B252" i="5"/>
  <c r="J251" i="12"/>
  <c r="L251" i="12"/>
  <c r="V246" i="12"/>
  <c r="U246" i="12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N248" i="12"/>
  <c r="G251" i="12"/>
  <c r="X251" i="5"/>
  <c r="AB250" i="6"/>
  <c r="AM250" i="5"/>
  <c r="L250" i="5"/>
  <c r="I250" i="12"/>
  <c r="Z250" i="5"/>
  <c r="D248" i="12"/>
  <c r="E248" i="6"/>
  <c r="W247" i="12"/>
  <c r="X247" i="12"/>
  <c r="AA249" i="5"/>
  <c r="AB249" i="5"/>
  <c r="C249" i="12"/>
  <c r="M249" i="12"/>
  <c r="O249" i="12"/>
  <c r="AO249" i="12"/>
  <c r="Y248" i="12"/>
  <c r="A252" i="6" l="1"/>
  <c r="M252" i="6" s="1"/>
  <c r="BE252" i="6" s="1"/>
  <c r="F253" i="5"/>
  <c r="AD253" i="5"/>
  <c r="H253" i="5"/>
  <c r="W253" i="5"/>
  <c r="H253" i="12" s="1"/>
  <c r="N253" i="5"/>
  <c r="D253" i="6" s="1"/>
  <c r="H253" i="6" s="1"/>
  <c r="T253" i="5" s="1"/>
  <c r="J253" i="5"/>
  <c r="C254" i="5"/>
  <c r="A253" i="12"/>
  <c r="E253" i="5"/>
  <c r="D253" i="5"/>
  <c r="B253" i="12" s="1"/>
  <c r="G253" i="5"/>
  <c r="B253" i="6"/>
  <c r="AE253" i="5"/>
  <c r="K253" i="5"/>
  <c r="B253" i="5"/>
  <c r="K251" i="12"/>
  <c r="L252" i="12"/>
  <c r="J252" i="12"/>
  <c r="AJ251" i="6"/>
  <c r="AX251" i="6"/>
  <c r="AH251" i="6"/>
  <c r="AV251" i="6"/>
  <c r="AS251" i="6"/>
  <c r="AP251" i="6"/>
  <c r="AI251" i="6"/>
  <c r="AK251" i="6"/>
  <c r="AO251" i="6"/>
  <c r="AC251" i="6"/>
  <c r="BB251" i="6"/>
  <c r="AM251" i="6"/>
  <c r="BC251" i="6"/>
  <c r="AN251" i="6"/>
  <c r="AT251" i="6"/>
  <c r="AE251" i="6"/>
  <c r="AD251" i="6"/>
  <c r="AU251" i="6"/>
  <c r="BG251" i="6"/>
  <c r="AZ251" i="6"/>
  <c r="BA251" i="6"/>
  <c r="AG251" i="6"/>
  <c r="AQ251" i="6"/>
  <c r="AB251" i="6"/>
  <c r="BF251" i="6"/>
  <c r="AR251" i="6"/>
  <c r="BD251" i="6"/>
  <c r="AY251" i="6"/>
  <c r="AF251" i="6"/>
  <c r="Y249" i="12"/>
  <c r="W249" i="12" s="1"/>
  <c r="X248" i="12"/>
  <c r="W248" i="12"/>
  <c r="AA250" i="5"/>
  <c r="AB250" i="5"/>
  <c r="C250" i="6"/>
  <c r="O250" i="5"/>
  <c r="I251" i="12"/>
  <c r="L251" i="5"/>
  <c r="AM251" i="5"/>
  <c r="Z251" i="5"/>
  <c r="E249" i="6"/>
  <c r="D249" i="12"/>
  <c r="N249" i="12"/>
  <c r="V247" i="12"/>
  <c r="T247" i="12"/>
  <c r="U247" i="12"/>
  <c r="C250" i="12"/>
  <c r="M250" i="12"/>
  <c r="O250" i="12"/>
  <c r="AO250" i="12"/>
  <c r="G252" i="12"/>
  <c r="X252" i="5"/>
  <c r="X249" i="12" l="1"/>
  <c r="AV252" i="6"/>
  <c r="AH252" i="6"/>
  <c r="BC252" i="6"/>
  <c r="BD252" i="6"/>
  <c r="AU252" i="6"/>
  <c r="AC252" i="6"/>
  <c r="BA252" i="6"/>
  <c r="AY252" i="6"/>
  <c r="AB252" i="6"/>
  <c r="AT252" i="6"/>
  <c r="AN252" i="6"/>
  <c r="BF252" i="6"/>
  <c r="AM252" i="6"/>
  <c r="AQ252" i="6"/>
  <c r="AS252" i="6"/>
  <c r="AE252" i="6"/>
  <c r="AJ252" i="6"/>
  <c r="AP252" i="6"/>
  <c r="AD252" i="6"/>
  <c r="AI252" i="6"/>
  <c r="AX252" i="6"/>
  <c r="BB252" i="6"/>
  <c r="BG252" i="6"/>
  <c r="AG252" i="6"/>
  <c r="AK252" i="6"/>
  <c r="AR252" i="6"/>
  <c r="AZ252" i="6"/>
  <c r="AO252" i="6"/>
  <c r="AF252" i="6"/>
  <c r="A253" i="6"/>
  <c r="M253" i="6" s="1"/>
  <c r="K252" i="12"/>
  <c r="J253" i="12"/>
  <c r="L253" i="12"/>
  <c r="G254" i="5"/>
  <c r="D254" i="5"/>
  <c r="B254" i="12" s="1"/>
  <c r="J254" i="5"/>
  <c r="K254" i="5"/>
  <c r="B254" i="5"/>
  <c r="F254" i="5"/>
  <c r="C255" i="5"/>
  <c r="W254" i="5"/>
  <c r="H254" i="12" s="1"/>
  <c r="N254" i="5"/>
  <c r="D254" i="6" s="1"/>
  <c r="H254" i="6" s="1"/>
  <c r="T254" i="5" s="1"/>
  <c r="B254" i="6"/>
  <c r="AD254" i="5"/>
  <c r="E254" i="5"/>
  <c r="AE254" i="5"/>
  <c r="H254" i="5"/>
  <c r="A254" i="12"/>
  <c r="Y250" i="12"/>
  <c r="W250" i="12" s="1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G253" i="12"/>
  <c r="X253" i="5"/>
  <c r="N250" i="12"/>
  <c r="AB251" i="5"/>
  <c r="AA251" i="5"/>
  <c r="C251" i="12"/>
  <c r="O251" i="12"/>
  <c r="AO251" i="12"/>
  <c r="M251" i="12"/>
  <c r="A254" i="6" l="1"/>
  <c r="M254" i="6" s="1"/>
  <c r="AV254" i="6" s="1"/>
  <c r="K253" i="12"/>
  <c r="L254" i="12"/>
  <c r="J254" i="12"/>
  <c r="B255" i="5"/>
  <c r="AE255" i="5"/>
  <c r="N255" i="5"/>
  <c r="D255" i="6" s="1"/>
  <c r="H255" i="6" s="1"/>
  <c r="T255" i="5" s="1"/>
  <c r="E255" i="5"/>
  <c r="D255" i="5"/>
  <c r="B255" i="12" s="1"/>
  <c r="J255" i="5"/>
  <c r="F255" i="5"/>
  <c r="C256" i="5"/>
  <c r="B255" i="6"/>
  <c r="W255" i="5"/>
  <c r="H255" i="12" s="1"/>
  <c r="H255" i="5"/>
  <c r="A255" i="12"/>
  <c r="G255" i="5"/>
  <c r="K255" i="5"/>
  <c r="AD255" i="5"/>
  <c r="X250" i="12"/>
  <c r="Y251" i="12"/>
  <c r="X251" i="12" s="1"/>
  <c r="I253" i="12"/>
  <c r="L253" i="5"/>
  <c r="AM253" i="5"/>
  <c r="Z253" i="5"/>
  <c r="C252" i="6"/>
  <c r="O252" i="5"/>
  <c r="E251" i="6"/>
  <c r="D251" i="12"/>
  <c r="U250" i="12"/>
  <c r="V250" i="12"/>
  <c r="T250" i="12"/>
  <c r="N251" i="12"/>
  <c r="AB252" i="5"/>
  <c r="AA252" i="5"/>
  <c r="C252" i="12"/>
  <c r="O252" i="12"/>
  <c r="M252" i="12"/>
  <c r="AO252" i="12"/>
  <c r="G254" i="12"/>
  <c r="X254" i="5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Q254" i="6" l="1"/>
  <c r="AG254" i="6"/>
  <c r="BA254" i="6"/>
  <c r="AY254" i="6"/>
  <c r="BD254" i="6"/>
  <c r="AF254" i="6"/>
  <c r="BB254" i="6"/>
  <c r="BE254" i="6"/>
  <c r="AU254" i="6"/>
  <c r="AO254" i="6"/>
  <c r="AK254" i="6"/>
  <c r="AS254" i="6"/>
  <c r="AZ254" i="6"/>
  <c r="AE254" i="6"/>
  <c r="AI254" i="6"/>
  <c r="BG254" i="6"/>
  <c r="AJ254" i="6"/>
  <c r="BF254" i="6"/>
  <c r="AC254" i="6"/>
  <c r="BC254" i="6"/>
  <c r="AB254" i="6"/>
  <c r="AX254" i="6"/>
  <c r="AP254" i="6"/>
  <c r="AT254" i="6"/>
  <c r="AD254" i="6"/>
  <c r="AR254" i="6"/>
  <c r="AM254" i="6"/>
  <c r="AN254" i="6"/>
  <c r="AH254" i="6"/>
  <c r="A255" i="6"/>
  <c r="M255" i="6" s="1"/>
  <c r="AQ255" i="6" s="1"/>
  <c r="K254" i="12"/>
  <c r="L255" i="12"/>
  <c r="J255" i="12"/>
  <c r="C257" i="5"/>
  <c r="N256" i="5"/>
  <c r="D256" i="6" s="1"/>
  <c r="H256" i="6" s="1"/>
  <c r="T256" i="5" s="1"/>
  <c r="G256" i="5"/>
  <c r="F256" i="5"/>
  <c r="H256" i="5"/>
  <c r="K256" i="5"/>
  <c r="B256" i="5"/>
  <c r="D256" i="5"/>
  <c r="B256" i="12" s="1"/>
  <c r="AE256" i="5"/>
  <c r="J256" i="5"/>
  <c r="AD256" i="5"/>
  <c r="W256" i="5"/>
  <c r="H256" i="12" s="1"/>
  <c r="A256" i="12"/>
  <c r="E256" i="5"/>
  <c r="B256" i="6"/>
  <c r="Y252" i="12"/>
  <c r="X252" i="12" s="1"/>
  <c r="W251" i="12"/>
  <c r="U251" i="12" s="1"/>
  <c r="N252" i="12"/>
  <c r="G255" i="12"/>
  <c r="X255" i="5"/>
  <c r="D252" i="12"/>
  <c r="E252" i="6"/>
  <c r="AA253" i="5"/>
  <c r="AB253" i="5"/>
  <c r="C253" i="6"/>
  <c r="O253" i="5"/>
  <c r="L254" i="5"/>
  <c r="I254" i="12"/>
  <c r="AM254" i="5"/>
  <c r="Z254" i="5"/>
  <c r="C253" i="12"/>
  <c r="AO253" i="12"/>
  <c r="O253" i="12"/>
  <c r="M253" i="12"/>
  <c r="AC255" i="6" l="1"/>
  <c r="BA255" i="6"/>
  <c r="AI255" i="6"/>
  <c r="AK255" i="6"/>
  <c r="BD255" i="6"/>
  <c r="AZ255" i="6"/>
  <c r="AN255" i="6"/>
  <c r="AE255" i="6"/>
  <c r="AH255" i="6"/>
  <c r="AS255" i="6"/>
  <c r="AF255" i="6"/>
  <c r="AJ255" i="6"/>
  <c r="AG255" i="6"/>
  <c r="AM255" i="6"/>
  <c r="AP255" i="6"/>
  <c r="AB255" i="6"/>
  <c r="AV255" i="6"/>
  <c r="BC255" i="6"/>
  <c r="AX255" i="6"/>
  <c r="AO255" i="6"/>
  <c r="AR255" i="6"/>
  <c r="AT255" i="6"/>
  <c r="AU255" i="6"/>
  <c r="BE255" i="6"/>
  <c r="BG255" i="6"/>
  <c r="W252" i="12"/>
  <c r="T252" i="12" s="1"/>
  <c r="AD255" i="6"/>
  <c r="BF255" i="6"/>
  <c r="AY255" i="6"/>
  <c r="BB255" i="6"/>
  <c r="K255" i="12"/>
  <c r="A256" i="6"/>
  <c r="M256" i="6" s="1"/>
  <c r="BF256" i="6" s="1"/>
  <c r="L256" i="12"/>
  <c r="J256" i="12"/>
  <c r="D257" i="5"/>
  <c r="B257" i="12" s="1"/>
  <c r="J257" i="5"/>
  <c r="K257" i="5"/>
  <c r="W257" i="5"/>
  <c r="H257" i="12" s="1"/>
  <c r="E257" i="5"/>
  <c r="H257" i="5"/>
  <c r="C258" i="5"/>
  <c r="F257" i="5"/>
  <c r="AD257" i="5"/>
  <c r="B257" i="6"/>
  <c r="N257" i="5"/>
  <c r="D257" i="6" s="1"/>
  <c r="H257" i="6" s="1"/>
  <c r="T257" i="5" s="1"/>
  <c r="B257" i="5"/>
  <c r="G257" i="5"/>
  <c r="A257" i="12"/>
  <c r="AE257" i="5"/>
  <c r="T251" i="12"/>
  <c r="V251" i="12"/>
  <c r="Y253" i="12"/>
  <c r="W253" i="12" s="1"/>
  <c r="AA254" i="5"/>
  <c r="AB254" i="5"/>
  <c r="C254" i="6"/>
  <c r="O254" i="5"/>
  <c r="G256" i="12"/>
  <c r="X256" i="5"/>
  <c r="I255" i="12"/>
  <c r="L255" i="5"/>
  <c r="AM255" i="5"/>
  <c r="Z255" i="5"/>
  <c r="N253" i="12"/>
  <c r="C254" i="12"/>
  <c r="M254" i="12"/>
  <c r="O254" i="12"/>
  <c r="AO254" i="12"/>
  <c r="E253" i="6"/>
  <c r="D253" i="12"/>
  <c r="V252" i="12" l="1"/>
  <c r="U252" i="12"/>
  <c r="AE256" i="6"/>
  <c r="AX256" i="6"/>
  <c r="AH256" i="6"/>
  <c r="AR256" i="6"/>
  <c r="AO256" i="6"/>
  <c r="AJ256" i="6"/>
  <c r="AC256" i="6"/>
  <c r="BC256" i="6"/>
  <c r="BB256" i="6"/>
  <c r="AY256" i="6"/>
  <c r="BG256" i="6"/>
  <c r="AK256" i="6"/>
  <c r="AU256" i="6"/>
  <c r="AZ256" i="6"/>
  <c r="AI256" i="6"/>
  <c r="AD256" i="6"/>
  <c r="AF256" i="6"/>
  <c r="AN256" i="6"/>
  <c r="AG256" i="6"/>
  <c r="AM256" i="6"/>
  <c r="AQ256" i="6"/>
  <c r="AV256" i="6"/>
  <c r="AT256" i="6"/>
  <c r="BE256" i="6"/>
  <c r="BD256" i="6"/>
  <c r="AB256" i="6"/>
  <c r="BA256" i="6"/>
  <c r="AS256" i="6"/>
  <c r="AP256" i="6"/>
  <c r="K256" i="12"/>
  <c r="A257" i="6"/>
  <c r="M257" i="6" s="1"/>
  <c r="BG257" i="6" s="1"/>
  <c r="C259" i="5"/>
  <c r="D258" i="5"/>
  <c r="B258" i="12" s="1"/>
  <c r="N258" i="5"/>
  <c r="D258" i="6" s="1"/>
  <c r="H258" i="6" s="1"/>
  <c r="T258" i="5" s="1"/>
  <c r="F258" i="5"/>
  <c r="B258" i="6"/>
  <c r="A258" i="12"/>
  <c r="J258" i="5"/>
  <c r="H258" i="5"/>
  <c r="W258" i="5"/>
  <c r="H258" i="12" s="1"/>
  <c r="E258" i="5"/>
  <c r="B258" i="5"/>
  <c r="AD258" i="5"/>
  <c r="K258" i="5"/>
  <c r="G258" i="5"/>
  <c r="AE258" i="5"/>
  <c r="J257" i="12"/>
  <c r="L257" i="12"/>
  <c r="Y254" i="12"/>
  <c r="X254" i="12" s="1"/>
  <c r="X253" i="12"/>
  <c r="C255" i="12"/>
  <c r="O255" i="12"/>
  <c r="M255" i="12"/>
  <c r="AO255" i="12"/>
  <c r="L256" i="5"/>
  <c r="I256" i="12"/>
  <c r="AM256" i="5"/>
  <c r="Z256" i="5"/>
  <c r="D254" i="12"/>
  <c r="E254" i="6"/>
  <c r="N254" i="12"/>
  <c r="AA255" i="5"/>
  <c r="AB255" i="5"/>
  <c r="C255" i="6"/>
  <c r="O255" i="5"/>
  <c r="G257" i="12"/>
  <c r="X257" i="5"/>
  <c r="T253" i="12"/>
  <c r="U253" i="12"/>
  <c r="V253" i="12"/>
  <c r="AF257" i="6" l="1"/>
  <c r="BC257" i="6"/>
  <c r="AD257" i="6"/>
  <c r="AT257" i="6"/>
  <c r="A258" i="6"/>
  <c r="M258" i="6" s="1"/>
  <c r="AD258" i="6" s="1"/>
  <c r="BA257" i="6"/>
  <c r="AE257" i="6"/>
  <c r="AO257" i="6"/>
  <c r="BD257" i="6"/>
  <c r="AZ257" i="6"/>
  <c r="AN257" i="6"/>
  <c r="AG257" i="6"/>
  <c r="BE257" i="6"/>
  <c r="AI257" i="6"/>
  <c r="AB257" i="6"/>
  <c r="AP257" i="6"/>
  <c r="AU257" i="6"/>
  <c r="AX257" i="6"/>
  <c r="AJ257" i="6"/>
  <c r="AS257" i="6"/>
  <c r="AC257" i="6"/>
  <c r="AH257" i="6"/>
  <c r="AY257" i="6"/>
  <c r="AR257" i="6"/>
  <c r="BF257" i="6"/>
  <c r="AK257" i="6"/>
  <c r="AQ257" i="6"/>
  <c r="BB257" i="6"/>
  <c r="AM257" i="6"/>
  <c r="AV257" i="6"/>
  <c r="J258" i="12"/>
  <c r="L258" i="12"/>
  <c r="K257" i="12"/>
  <c r="N259" i="5"/>
  <c r="D259" i="6" s="1"/>
  <c r="H259" i="6" s="1"/>
  <c r="T259" i="5" s="1"/>
  <c r="F259" i="5"/>
  <c r="B259" i="5"/>
  <c r="B259" i="6"/>
  <c r="K259" i="5"/>
  <c r="C260" i="5"/>
  <c r="A259" i="12"/>
  <c r="AD259" i="5"/>
  <c r="D259" i="5"/>
  <c r="B259" i="12" s="1"/>
  <c r="J259" i="5"/>
  <c r="G259" i="5"/>
  <c r="W259" i="5"/>
  <c r="H259" i="12" s="1"/>
  <c r="E259" i="5"/>
  <c r="H259" i="5"/>
  <c r="AE259" i="5"/>
  <c r="Y255" i="12"/>
  <c r="W255" i="12" s="1"/>
  <c r="W254" i="12"/>
  <c r="T254" i="12" s="1"/>
  <c r="C256" i="6"/>
  <c r="O256" i="5"/>
  <c r="I257" i="12"/>
  <c r="AM257" i="5"/>
  <c r="L257" i="5"/>
  <c r="Z257" i="5"/>
  <c r="D255" i="12"/>
  <c r="E255" i="6"/>
  <c r="AA256" i="5"/>
  <c r="AB256" i="5"/>
  <c r="C256" i="12"/>
  <c r="M256" i="12"/>
  <c r="AO256" i="12"/>
  <c r="O256" i="12"/>
  <c r="G258" i="12"/>
  <c r="X258" i="5"/>
  <c r="N255" i="12"/>
  <c r="A259" i="6" l="1"/>
  <c r="M259" i="6" s="1"/>
  <c r="AJ259" i="6" s="1"/>
  <c r="K258" i="12"/>
  <c r="U254" i="12"/>
  <c r="J259" i="12"/>
  <c r="L259" i="12"/>
  <c r="B260" i="6"/>
  <c r="G260" i="5"/>
  <c r="C261" i="5"/>
  <c r="W260" i="5"/>
  <c r="H260" i="12" s="1"/>
  <c r="A260" i="12"/>
  <c r="F260" i="5"/>
  <c r="AE260" i="5"/>
  <c r="N260" i="5"/>
  <c r="D260" i="6" s="1"/>
  <c r="H260" i="6" s="1"/>
  <c r="T260" i="5" s="1"/>
  <c r="J260" i="5"/>
  <c r="B260" i="5"/>
  <c r="AD260" i="5"/>
  <c r="H260" i="5"/>
  <c r="K260" i="5"/>
  <c r="E260" i="5"/>
  <c r="D260" i="5"/>
  <c r="B260" i="12" s="1"/>
  <c r="V254" i="12"/>
  <c r="X255" i="12"/>
  <c r="N256" i="12"/>
  <c r="AJ258" i="6"/>
  <c r="T255" i="12"/>
  <c r="U255" i="12"/>
  <c r="V255" i="12"/>
  <c r="L258" i="5"/>
  <c r="AM258" i="5"/>
  <c r="I258" i="12"/>
  <c r="Z258" i="5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260" i="6" l="1"/>
  <c r="M260" i="6" s="1"/>
  <c r="AZ260" i="6" s="1"/>
  <c r="K259" i="12"/>
  <c r="L260" i="12"/>
  <c r="J260" i="12"/>
  <c r="B261" i="5"/>
  <c r="G261" i="5"/>
  <c r="C262" i="5"/>
  <c r="AD261" i="5"/>
  <c r="W261" i="5"/>
  <c r="H261" i="12" s="1"/>
  <c r="N261" i="5"/>
  <c r="D261" i="6" s="1"/>
  <c r="H261" i="6" s="1"/>
  <c r="T261" i="5" s="1"/>
  <c r="F261" i="5"/>
  <c r="E261" i="5"/>
  <c r="H261" i="5"/>
  <c r="K261" i="5"/>
  <c r="D261" i="5"/>
  <c r="B261" i="12" s="1"/>
  <c r="J261" i="5"/>
  <c r="B261" i="6"/>
  <c r="A261" i="12"/>
  <c r="AE261" i="5"/>
  <c r="AD259" i="6"/>
  <c r="BD259" i="6"/>
  <c r="AC259" i="6"/>
  <c r="N257" i="12"/>
  <c r="AP259" i="6"/>
  <c r="BG259" i="6"/>
  <c r="AU259" i="6"/>
  <c r="AV259" i="6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BB259" i="6"/>
  <c r="D257" i="12"/>
  <c r="E257" i="6"/>
  <c r="W256" i="12"/>
  <c r="X256" i="12"/>
  <c r="L259" i="5"/>
  <c r="AM259" i="5"/>
  <c r="I259" i="12"/>
  <c r="Z259" i="5"/>
  <c r="Y257" i="12"/>
  <c r="G260" i="12"/>
  <c r="X260" i="5"/>
  <c r="AA258" i="5"/>
  <c r="AB258" i="5"/>
  <c r="C258" i="12"/>
  <c r="M258" i="12"/>
  <c r="O258" i="12"/>
  <c r="AO258" i="12"/>
  <c r="C258" i="6"/>
  <c r="O258" i="5"/>
  <c r="K260" i="12" l="1"/>
  <c r="J261" i="12"/>
  <c r="L261" i="12"/>
  <c r="A261" i="6"/>
  <c r="M261" i="6" s="1"/>
  <c r="BA261" i="6" s="1"/>
  <c r="A262" i="12"/>
  <c r="J262" i="5"/>
  <c r="W262" i="5"/>
  <c r="H262" i="12" s="1"/>
  <c r="E262" i="5"/>
  <c r="H262" i="5"/>
  <c r="AE262" i="5"/>
  <c r="D262" i="5"/>
  <c r="B262" i="12" s="1"/>
  <c r="B262" i="5"/>
  <c r="N262" i="5"/>
  <c r="D262" i="6" s="1"/>
  <c r="H262" i="6" s="1"/>
  <c r="T262" i="5" s="1"/>
  <c r="K262" i="5"/>
  <c r="F262" i="5"/>
  <c r="B262" i="6"/>
  <c r="G262" i="5"/>
  <c r="C263" i="5"/>
  <c r="AD262" i="5"/>
  <c r="BA260" i="6"/>
  <c r="AC260" i="6"/>
  <c r="AD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N258" i="12"/>
  <c r="G261" i="12"/>
  <c r="X261" i="5"/>
  <c r="D258" i="12"/>
  <c r="E258" i="6"/>
  <c r="Y258" i="12"/>
  <c r="L260" i="5"/>
  <c r="AM260" i="5"/>
  <c r="I260" i="12"/>
  <c r="Z260" i="5"/>
  <c r="W257" i="12"/>
  <c r="X257" i="12"/>
  <c r="AB259" i="5"/>
  <c r="AA259" i="5"/>
  <c r="C259" i="12"/>
  <c r="M259" i="12"/>
  <c r="AO259" i="12"/>
  <c r="O259" i="12"/>
  <c r="C259" i="6"/>
  <c r="O259" i="5"/>
  <c r="U256" i="12"/>
  <c r="T256" i="12"/>
  <c r="V256" i="12"/>
  <c r="AJ261" i="6" l="1"/>
  <c r="A262" i="6"/>
  <c r="M262" i="6" s="1"/>
  <c r="AH262" i="6" s="1"/>
  <c r="AD261" i="6"/>
  <c r="AX261" i="6"/>
  <c r="AK261" i="6"/>
  <c r="AY261" i="6"/>
  <c r="AH261" i="6"/>
  <c r="AC261" i="6"/>
  <c r="AB261" i="6"/>
  <c r="AO261" i="6"/>
  <c r="BC261" i="6"/>
  <c r="AT261" i="6"/>
  <c r="AG261" i="6"/>
  <c r="AR261" i="6"/>
  <c r="AF261" i="6"/>
  <c r="AS261" i="6"/>
  <c r="AZ261" i="6"/>
  <c r="AN261" i="6"/>
  <c r="BG261" i="6"/>
  <c r="BE261" i="6"/>
  <c r="AE261" i="6"/>
  <c r="AQ261" i="6"/>
  <c r="AM261" i="6"/>
  <c r="AV261" i="6"/>
  <c r="AI261" i="6"/>
  <c r="AU261" i="6"/>
  <c r="BB261" i="6"/>
  <c r="BF261" i="6"/>
  <c r="BD261" i="6"/>
  <c r="AP261" i="6"/>
  <c r="K261" i="12"/>
  <c r="L262" i="12"/>
  <c r="J262" i="12"/>
  <c r="E263" i="5"/>
  <c r="B263" i="5"/>
  <c r="F263" i="5"/>
  <c r="AD263" i="5"/>
  <c r="AE263" i="5"/>
  <c r="A263" i="12"/>
  <c r="W263" i="5"/>
  <c r="H263" i="12" s="1"/>
  <c r="J263" i="5"/>
  <c r="H263" i="5"/>
  <c r="K263" i="5"/>
  <c r="D263" i="5"/>
  <c r="B263" i="12" s="1"/>
  <c r="G263" i="5"/>
  <c r="B263" i="6"/>
  <c r="N263" i="5"/>
  <c r="D263" i="6" s="1"/>
  <c r="C264" i="5"/>
  <c r="N259" i="12"/>
  <c r="D259" i="12"/>
  <c r="E259" i="6"/>
  <c r="W258" i="12"/>
  <c r="X258" i="12"/>
  <c r="AM261" i="5"/>
  <c r="I261" i="12"/>
  <c r="L261" i="5"/>
  <c r="Z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A263" i="6" l="1"/>
  <c r="M263" i="6" s="1"/>
  <c r="AM263" i="6" s="1"/>
  <c r="K262" i="12"/>
  <c r="H263" i="6"/>
  <c r="T263" i="5" s="1"/>
  <c r="X263" i="5" s="1"/>
  <c r="L263" i="12"/>
  <c r="J263" i="12"/>
  <c r="N264" i="5"/>
  <c r="D264" i="6" s="1"/>
  <c r="H264" i="6" s="1"/>
  <c r="T264" i="5" s="1"/>
  <c r="B264" i="6"/>
  <c r="AE264" i="5"/>
  <c r="K264" i="5"/>
  <c r="H264" i="5"/>
  <c r="G264" i="5"/>
  <c r="W264" i="5"/>
  <c r="H264" i="12" s="1"/>
  <c r="J264" i="5"/>
  <c r="E264" i="5"/>
  <c r="AD264" i="5"/>
  <c r="A264" i="12"/>
  <c r="F264" i="5"/>
  <c r="C265" i="5"/>
  <c r="B264" i="5"/>
  <c r="D264" i="5"/>
  <c r="B264" i="12" s="1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C262" i="6"/>
  <c r="BE262" i="6"/>
  <c r="AC262" i="6"/>
  <c r="AX262" i="6"/>
  <c r="AN262" i="6"/>
  <c r="AZ262" i="6"/>
  <c r="AV262" i="6"/>
  <c r="AM262" i="6"/>
  <c r="AO262" i="6"/>
  <c r="BB262" i="6"/>
  <c r="AP262" i="6"/>
  <c r="J32" i="5"/>
  <c r="K32" i="5"/>
  <c r="K53" i="5"/>
  <c r="J53" i="5"/>
  <c r="J66" i="5"/>
  <c r="D66" i="5" s="1"/>
  <c r="J74" i="5"/>
  <c r="K74" i="5"/>
  <c r="L262" i="5"/>
  <c r="AM262" i="5"/>
  <c r="I262" i="12"/>
  <c r="Z262" i="5"/>
  <c r="D260" i="12"/>
  <c r="E260" i="6"/>
  <c r="N260" i="12"/>
  <c r="C261" i="12"/>
  <c r="AO261" i="12"/>
  <c r="O261" i="12"/>
  <c r="M261" i="12"/>
  <c r="Y260" i="12"/>
  <c r="X259" i="12"/>
  <c r="W259" i="12"/>
  <c r="AB261" i="5"/>
  <c r="AA261" i="5"/>
  <c r="C261" i="6"/>
  <c r="O261" i="5"/>
  <c r="V258" i="12"/>
  <c r="T258" i="12"/>
  <c r="U258" i="12"/>
  <c r="G263" i="12" l="1"/>
  <c r="BA263" i="6"/>
  <c r="AU263" i="6"/>
  <c r="AT263" i="6"/>
  <c r="BB263" i="6"/>
  <c r="AQ263" i="6"/>
  <c r="BE263" i="6"/>
  <c r="AV263" i="6"/>
  <c r="AX263" i="6"/>
  <c r="AS263" i="6"/>
  <c r="AB263" i="6"/>
  <c r="AR263" i="6"/>
  <c r="AZ263" i="6"/>
  <c r="AD263" i="6"/>
  <c r="AP263" i="6"/>
  <c r="BC263" i="6"/>
  <c r="BF263" i="6"/>
  <c r="BD263" i="6"/>
  <c r="A264" i="6"/>
  <c r="M264" i="6" s="1"/>
  <c r="AR264" i="6" s="1"/>
  <c r="AG263" i="6"/>
  <c r="AK263" i="6"/>
  <c r="AE263" i="6"/>
  <c r="AJ263" i="6"/>
  <c r="AF263" i="6"/>
  <c r="AI263" i="6"/>
  <c r="AC263" i="6"/>
  <c r="AN263" i="6"/>
  <c r="BG263" i="6"/>
  <c r="AY263" i="6"/>
  <c r="AO263" i="6"/>
  <c r="AH263" i="6"/>
  <c r="K263" i="12"/>
  <c r="AD265" i="5"/>
  <c r="A265" i="12"/>
  <c r="F265" i="5"/>
  <c r="B265" i="6"/>
  <c r="AE265" i="5"/>
  <c r="K265" i="5"/>
  <c r="H265" i="5"/>
  <c r="E265" i="5"/>
  <c r="A5" i="5"/>
  <c r="D265" i="5"/>
  <c r="B265" i="12" s="1"/>
  <c r="B265" i="5"/>
  <c r="G265" i="5"/>
  <c r="W265" i="5"/>
  <c r="H265" i="12" s="1"/>
  <c r="J265" i="5"/>
  <c r="N265" i="5"/>
  <c r="D265" i="6" s="1"/>
  <c r="L264" i="12"/>
  <c r="J264" i="12"/>
  <c r="Y261" i="12"/>
  <c r="W261" i="12" s="1"/>
  <c r="D32" i="5"/>
  <c r="B32" i="12" s="1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AM263" i="5"/>
  <c r="L263" i="5"/>
  <c r="I263" i="12"/>
  <c r="Z263" i="5"/>
  <c r="G264" i="12"/>
  <c r="X264" i="5"/>
  <c r="N261" i="12"/>
  <c r="AB262" i="5"/>
  <c r="AA262" i="5"/>
  <c r="D74" i="5"/>
  <c r="B66" i="12"/>
  <c r="X66" i="5"/>
  <c r="D53" i="5"/>
  <c r="O21" i="5" l="1"/>
  <c r="D21" i="12" s="1"/>
  <c r="J52" i="5"/>
  <c r="K52" i="5"/>
  <c r="J28" i="5"/>
  <c r="K28" i="5"/>
  <c r="K22" i="5"/>
  <c r="J27" i="5"/>
  <c r="K27" i="5"/>
  <c r="J50" i="5"/>
  <c r="K50" i="5"/>
  <c r="K23" i="5"/>
  <c r="J43" i="5"/>
  <c r="K17" i="5"/>
  <c r="K43" i="5"/>
  <c r="D43" i="5" s="1"/>
  <c r="B43" i="12" s="1"/>
  <c r="J23" i="5"/>
  <c r="D23" i="5" s="1"/>
  <c r="B23" i="12" s="1"/>
  <c r="J35" i="5"/>
  <c r="K35" i="5"/>
  <c r="AI264" i="6"/>
  <c r="O18" i="5"/>
  <c r="E18" i="6" s="1"/>
  <c r="O19" i="5"/>
  <c r="D19" i="12" s="1"/>
  <c r="O20" i="5"/>
  <c r="AP264" i="6"/>
  <c r="AQ264" i="6"/>
  <c r="BE264" i="6"/>
  <c r="AT264" i="6"/>
  <c r="AF264" i="6"/>
  <c r="AO264" i="6"/>
  <c r="AZ264" i="6"/>
  <c r="BF264" i="6"/>
  <c r="AD264" i="6"/>
  <c r="AV264" i="6"/>
  <c r="AY264" i="6"/>
  <c r="BC264" i="6"/>
  <c r="AG264" i="6"/>
  <c r="BB264" i="6"/>
  <c r="A265" i="6"/>
  <c r="M265" i="6" s="1"/>
  <c r="F15" i="7" s="1"/>
  <c r="A15" i="10" s="1"/>
  <c r="AH264" i="6"/>
  <c r="AM264" i="6"/>
  <c r="BA264" i="6"/>
  <c r="AS264" i="6"/>
  <c r="BD264" i="6"/>
  <c r="BG264" i="6"/>
  <c r="AE264" i="6"/>
  <c r="AK264" i="6"/>
  <c r="AB264" i="6"/>
  <c r="AU264" i="6"/>
  <c r="AC264" i="6"/>
  <c r="AN264" i="6"/>
  <c r="AX264" i="6"/>
  <c r="AJ264" i="6"/>
  <c r="H265" i="6"/>
  <c r="T265" i="5" s="1"/>
  <c r="G265" i="12" s="1"/>
  <c r="K42" i="5"/>
  <c r="J42" i="5"/>
  <c r="K264" i="12"/>
  <c r="J16" i="5"/>
  <c r="A17" i="13"/>
  <c r="A15" i="13"/>
  <c r="A23" i="13"/>
  <c r="B22" i="11"/>
  <c r="B16" i="11"/>
  <c r="B18" i="11"/>
  <c r="A19" i="13"/>
  <c r="A12" i="13"/>
  <c r="A21" i="13"/>
  <c r="B15" i="11"/>
  <c r="B20" i="11"/>
  <c r="A16" i="13"/>
  <c r="B12" i="11"/>
  <c r="A20" i="13"/>
  <c r="A22" i="13"/>
  <c r="B21" i="11"/>
  <c r="B19" i="11"/>
  <c r="A18" i="13"/>
  <c r="B17" i="11"/>
  <c r="K16" i="5"/>
  <c r="B23" i="11"/>
  <c r="J34" i="5"/>
  <c r="K34" i="5"/>
  <c r="J22" i="5"/>
  <c r="D22" i="5" s="1"/>
  <c r="B22" i="12" s="1"/>
  <c r="J17" i="5"/>
  <c r="J265" i="12"/>
  <c r="L265" i="12"/>
  <c r="E26" i="8"/>
  <c r="E47" i="8"/>
  <c r="E131" i="8"/>
  <c r="E68" i="8"/>
  <c r="E146" i="8"/>
  <c r="E134" i="8"/>
  <c r="E20" i="8"/>
  <c r="E98" i="8"/>
  <c r="E149" i="8"/>
  <c r="E107" i="8"/>
  <c r="E44" i="8"/>
  <c r="E158" i="8"/>
  <c r="E101" i="8"/>
  <c r="E125" i="8"/>
  <c r="E56" i="8"/>
  <c r="E74" i="8"/>
  <c r="E152" i="8"/>
  <c r="E113" i="8"/>
  <c r="E119" i="8"/>
  <c r="E65" i="8"/>
  <c r="E161" i="8"/>
  <c r="E62" i="8"/>
  <c r="E86" i="8"/>
  <c r="E1" i="8"/>
  <c r="E2" i="8" s="1"/>
  <c r="E17" i="8"/>
  <c r="E92" i="8"/>
  <c r="E110" i="8"/>
  <c r="E77" i="8"/>
  <c r="E104" i="8"/>
  <c r="E53" i="8"/>
  <c r="E35" i="8"/>
  <c r="E122" i="8"/>
  <c r="E95" i="8"/>
  <c r="E137" i="8"/>
  <c r="E128" i="8"/>
  <c r="E80" i="8"/>
  <c r="E41" i="8"/>
  <c r="E14" i="8"/>
  <c r="E15" i="8" s="1"/>
  <c r="E83" i="8"/>
  <c r="E50" i="8"/>
  <c r="E29" i="8"/>
  <c r="E23" i="8"/>
  <c r="E89" i="8"/>
  <c r="E59" i="8"/>
  <c r="E116" i="8"/>
  <c r="E143" i="8"/>
  <c r="E32" i="8"/>
  <c r="E140" i="8"/>
  <c r="E38" i="8"/>
  <c r="E155" i="8"/>
  <c r="E71" i="8"/>
  <c r="X261" i="12"/>
  <c r="X32" i="5"/>
  <c r="B74" i="12"/>
  <c r="AA263" i="5"/>
  <c r="AB263" i="5"/>
  <c r="C263" i="12"/>
  <c r="AO263" i="12"/>
  <c r="O263" i="12"/>
  <c r="M263" i="12"/>
  <c r="V260" i="12"/>
  <c r="T260" i="12"/>
  <c r="U260" i="12"/>
  <c r="B53" i="12"/>
  <c r="I66" i="12"/>
  <c r="O66" i="12" s="1"/>
  <c r="AM66" i="5"/>
  <c r="L66" i="5"/>
  <c r="Z66" i="5"/>
  <c r="AM264" i="5"/>
  <c r="L264" i="5"/>
  <c r="I264" i="12"/>
  <c r="Z264" i="5"/>
  <c r="C263" i="6"/>
  <c r="O263" i="5"/>
  <c r="D262" i="12"/>
  <c r="E262" i="6"/>
  <c r="N262" i="12"/>
  <c r="Y262" i="12"/>
  <c r="U261" i="12"/>
  <c r="T261" i="12"/>
  <c r="V261" i="12"/>
  <c r="E21" i="6" l="1"/>
  <c r="C63" i="10"/>
  <c r="D52" i="5"/>
  <c r="B52" i="12" s="1"/>
  <c r="D17" i="5"/>
  <c r="B17" i="12" s="1"/>
  <c r="D27" i="5"/>
  <c r="B27" i="12" s="1"/>
  <c r="D28" i="5"/>
  <c r="C32" i="9"/>
  <c r="C1" i="9"/>
  <c r="C51" i="9"/>
  <c r="C49" i="10"/>
  <c r="C36" i="10"/>
  <c r="C34" i="10"/>
  <c r="AP265" i="6"/>
  <c r="C23" i="9"/>
  <c r="C29" i="9"/>
  <c r="C25" i="9"/>
  <c r="C43" i="9"/>
  <c r="C39" i="9"/>
  <c r="C61" i="10"/>
  <c r="C52" i="9"/>
  <c r="C47" i="10"/>
  <c r="C51" i="10"/>
  <c r="C1" i="10"/>
  <c r="C50" i="9"/>
  <c r="C25" i="10"/>
  <c r="C57" i="10"/>
  <c r="C50" i="10"/>
  <c r="C27" i="10"/>
  <c r="C54" i="10"/>
  <c r="C60" i="10"/>
  <c r="C53" i="10"/>
  <c r="C42" i="10"/>
  <c r="C37" i="9"/>
  <c r="C60" i="9"/>
  <c r="C58" i="10"/>
  <c r="C40" i="9"/>
  <c r="D16" i="5"/>
  <c r="D50" i="5"/>
  <c r="B50" i="12" s="1"/>
  <c r="C61" i="9"/>
  <c r="C30" i="9"/>
  <c r="C30" i="10"/>
  <c r="C31" i="9"/>
  <c r="C45" i="10"/>
  <c r="C29" i="10"/>
  <c r="C47" i="9"/>
  <c r="C53" i="9"/>
  <c r="M12" i="6"/>
  <c r="C48" i="9"/>
  <c r="C45" i="9"/>
  <c r="C23" i="10"/>
  <c r="C38" i="10"/>
  <c r="C54" i="9"/>
  <c r="C21" i="10"/>
  <c r="C44" i="9"/>
  <c r="C62" i="9"/>
  <c r="C26" i="9"/>
  <c r="C16" i="10"/>
  <c r="C58" i="9"/>
  <c r="C63" i="9"/>
  <c r="C33" i="9"/>
  <c r="C39" i="10"/>
  <c r="C49" i="9"/>
  <c r="AY265" i="6"/>
  <c r="C28" i="10"/>
  <c r="C34" i="9"/>
  <c r="C56" i="10"/>
  <c r="C28" i="9"/>
  <c r="C16" i="9"/>
  <c r="C40" i="10"/>
  <c r="C46" i="10"/>
  <c r="C48" i="10"/>
  <c r="A1" i="9"/>
  <c r="C37" i="10"/>
  <c r="A1" i="10"/>
  <c r="C36" i="9"/>
  <c r="C56" i="9"/>
  <c r="C42" i="9"/>
  <c r="C46" i="9"/>
  <c r="C41" i="10"/>
  <c r="C64" i="10"/>
  <c r="C52" i="10"/>
  <c r="C35" i="9"/>
  <c r="C24" i="10"/>
  <c r="C41" i="9"/>
  <c r="C26" i="10"/>
  <c r="C62" i="10"/>
  <c r="C55" i="10"/>
  <c r="AR265" i="6"/>
  <c r="C33" i="10"/>
  <c r="C64" i="9"/>
  <c r="C21" i="9"/>
  <c r="C22" i="10"/>
  <c r="C24" i="9"/>
  <c r="C38" i="9"/>
  <c r="C44" i="10"/>
  <c r="C43" i="10"/>
  <c r="C57" i="9"/>
  <c r="C59" i="10"/>
  <c r="C31" i="10"/>
  <c r="C27" i="9"/>
  <c r="C59" i="9"/>
  <c r="C32" i="10"/>
  <c r="C55" i="9"/>
  <c r="C22" i="9"/>
  <c r="C35" i="10"/>
  <c r="AB265" i="6"/>
  <c r="BF265" i="6"/>
  <c r="X265" i="5"/>
  <c r="X74" i="5" s="1"/>
  <c r="I74" i="12" s="1"/>
  <c r="AE265" i="6"/>
  <c r="AE15" i="6" s="1"/>
  <c r="T15" i="6" s="1"/>
  <c r="AJ265" i="6"/>
  <c r="AJ15" i="6" s="1"/>
  <c r="Y15" i="6" s="1"/>
  <c r="D35" i="5"/>
  <c r="B15" i="13"/>
  <c r="AT265" i="6"/>
  <c r="AO265" i="6"/>
  <c r="BD265" i="6"/>
  <c r="AD265" i="6"/>
  <c r="AK265" i="6"/>
  <c r="AK15" i="6" s="1"/>
  <c r="Z15" i="6" s="1"/>
  <c r="AH265" i="6"/>
  <c r="AH15" i="6" s="1"/>
  <c r="W15" i="6" s="1"/>
  <c r="BC265" i="6"/>
  <c r="AX265" i="6"/>
  <c r="BE265" i="6"/>
  <c r="AI265" i="6"/>
  <c r="AI15" i="6" s="1"/>
  <c r="X15" i="6" s="1"/>
  <c r="AG265" i="6"/>
  <c r="AG15" i="6" s="1"/>
  <c r="V15" i="6" s="1"/>
  <c r="AZ265" i="6"/>
  <c r="BA265" i="6"/>
  <c r="AN265" i="6"/>
  <c r="BB265" i="6"/>
  <c r="AU265" i="6"/>
  <c r="AC265" i="6"/>
  <c r="AM265" i="6"/>
  <c r="BG265" i="6"/>
  <c r="AF265" i="6"/>
  <c r="AF15" i="6" s="1"/>
  <c r="U15" i="6" s="1"/>
  <c r="AV265" i="6"/>
  <c r="AS265" i="6"/>
  <c r="AQ265" i="6"/>
  <c r="D18" i="12"/>
  <c r="E19" i="6"/>
  <c r="E20" i="6"/>
  <c r="D20" i="12"/>
  <c r="F35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D42" i="5"/>
  <c r="B42" i="12" s="1"/>
  <c r="K265" i="12"/>
  <c r="D34" i="5"/>
  <c r="B18" i="13"/>
  <c r="AO18" i="13"/>
  <c r="AL18" i="13"/>
  <c r="B20" i="13"/>
  <c r="AO20" i="13"/>
  <c r="AL20" i="13"/>
  <c r="C15" i="13"/>
  <c r="K15" i="13" s="1"/>
  <c r="K15" i="11"/>
  <c r="J15" i="13" s="1"/>
  <c r="G18" i="11"/>
  <c r="F18" i="13" s="1"/>
  <c r="K18" i="11"/>
  <c r="J18" i="13" s="1"/>
  <c r="O18" i="11"/>
  <c r="AB18" i="11"/>
  <c r="N18" i="11" s="1"/>
  <c r="AA18" i="11"/>
  <c r="C18" i="13"/>
  <c r="L14" i="8"/>
  <c r="I14" i="8"/>
  <c r="O23" i="11"/>
  <c r="AB23" i="11"/>
  <c r="N23" i="11" s="1"/>
  <c r="G23" i="11"/>
  <c r="F23" i="13" s="1"/>
  <c r="AA23" i="11"/>
  <c r="K23" i="11"/>
  <c r="J23" i="13" s="1"/>
  <c r="C23" i="13"/>
  <c r="G19" i="11"/>
  <c r="F19" i="13" s="1"/>
  <c r="AA19" i="11"/>
  <c r="O19" i="11"/>
  <c r="C19" i="13"/>
  <c r="AB19" i="11"/>
  <c r="N19" i="11" s="1"/>
  <c r="K19" i="11"/>
  <c r="J19" i="13" s="1"/>
  <c r="O12" i="11"/>
  <c r="G12" i="11"/>
  <c r="F12" i="13" s="1"/>
  <c r="C12" i="13"/>
  <c r="K12" i="11"/>
  <c r="J12" i="13" s="1"/>
  <c r="AB12" i="11"/>
  <c r="N12" i="11" s="1"/>
  <c r="AA12" i="11"/>
  <c r="B21" i="13"/>
  <c r="AO21" i="13"/>
  <c r="AL21" i="13"/>
  <c r="G16" i="11"/>
  <c r="F16" i="13" s="1"/>
  <c r="K16" i="11"/>
  <c r="J16" i="13" s="1"/>
  <c r="C16" i="13"/>
  <c r="AO17" i="13"/>
  <c r="AL17" i="13"/>
  <c r="G21" i="11"/>
  <c r="F21" i="13" s="1"/>
  <c r="K21" i="11"/>
  <c r="J21" i="13" s="1"/>
  <c r="AB21" i="11"/>
  <c r="N21" i="11" s="1"/>
  <c r="O21" i="11"/>
  <c r="C21" i="13"/>
  <c r="AA21" i="11"/>
  <c r="AO16" i="13"/>
  <c r="B16" i="13"/>
  <c r="AL16" i="13"/>
  <c r="AL12" i="13"/>
  <c r="B12" i="13"/>
  <c r="AO12" i="13"/>
  <c r="AB22" i="11"/>
  <c r="N22" i="11" s="1"/>
  <c r="G22" i="11"/>
  <c r="F22" i="13" s="1"/>
  <c r="K22" i="11"/>
  <c r="J22" i="13" s="1"/>
  <c r="AA22" i="11"/>
  <c r="C22" i="13"/>
  <c r="O22" i="11"/>
  <c r="H1" i="8"/>
  <c r="R1" i="8"/>
  <c r="L1" i="8"/>
  <c r="P1" i="8"/>
  <c r="N1" i="8"/>
  <c r="O1" i="8"/>
  <c r="I1" i="8"/>
  <c r="M1" i="8"/>
  <c r="C17" i="13"/>
  <c r="G17" i="11"/>
  <c r="F17" i="13" s="1"/>
  <c r="K17" i="11"/>
  <c r="J17" i="13" s="1"/>
  <c r="B22" i="13"/>
  <c r="AO22" i="13"/>
  <c r="AL22" i="13"/>
  <c r="AB20" i="11"/>
  <c r="N20" i="11" s="1"/>
  <c r="C20" i="13"/>
  <c r="K20" i="11"/>
  <c r="J20" i="13" s="1"/>
  <c r="O20" i="11"/>
  <c r="G20" i="11"/>
  <c r="F20" i="13" s="1"/>
  <c r="AA20" i="11"/>
  <c r="AO19" i="13"/>
  <c r="AL19" i="13"/>
  <c r="B19" i="13"/>
  <c r="AO23" i="13"/>
  <c r="B23" i="13"/>
  <c r="AL23" i="13"/>
  <c r="L32" i="5"/>
  <c r="O32" i="5" s="1"/>
  <c r="X23" i="5"/>
  <c r="AM32" i="5"/>
  <c r="AO66" i="12"/>
  <c r="Y66" i="12" s="1"/>
  <c r="M66" i="12"/>
  <c r="N66" i="12" s="1"/>
  <c r="AA66" i="5"/>
  <c r="AB66" i="5"/>
  <c r="I32" i="12"/>
  <c r="C32" i="12" s="1"/>
  <c r="Z32" i="5"/>
  <c r="Y263" i="12"/>
  <c r="X263" i="12" s="1"/>
  <c r="W262" i="12"/>
  <c r="X262" i="12"/>
  <c r="L43" i="12"/>
  <c r="J43" i="12"/>
  <c r="D263" i="12"/>
  <c r="E263" i="6"/>
  <c r="C264" i="6"/>
  <c r="O264" i="5"/>
  <c r="AB264" i="5"/>
  <c r="AA264" i="5"/>
  <c r="C264" i="12"/>
  <c r="M264" i="12"/>
  <c r="AO264" i="12"/>
  <c r="O264" i="12"/>
  <c r="C66" i="6"/>
  <c r="O66" i="5"/>
  <c r="C66" i="12"/>
  <c r="J66" i="12"/>
  <c r="L66" i="12"/>
  <c r="J32" i="12"/>
  <c r="L32" i="12"/>
  <c r="N263" i="12"/>
  <c r="B28" i="12" l="1"/>
  <c r="X28" i="5"/>
  <c r="L74" i="5"/>
  <c r="B14" i="13"/>
  <c r="B16" i="12"/>
  <c r="AM265" i="5"/>
  <c r="Z74" i="5"/>
  <c r="X50" i="5"/>
  <c r="L50" i="5" s="1"/>
  <c r="I265" i="12"/>
  <c r="O265" i="12" s="1"/>
  <c r="L265" i="5"/>
  <c r="C265" i="6" s="1"/>
  <c r="AM74" i="5"/>
  <c r="Z265" i="5"/>
  <c r="AA265" i="5" s="1"/>
  <c r="B17" i="13"/>
  <c r="B35" i="12"/>
  <c r="X35" i="5"/>
  <c r="X22" i="5"/>
  <c r="AB23" i="6"/>
  <c r="AD23" i="6"/>
  <c r="AC23" i="6"/>
  <c r="F32" i="7"/>
  <c r="F37" i="7"/>
  <c r="F36" i="7"/>
  <c r="F28" i="7"/>
  <c r="F24" i="7"/>
  <c r="F33" i="7"/>
  <c r="F20" i="7"/>
  <c r="F14" i="7"/>
  <c r="F18" i="7"/>
  <c r="F31" i="7"/>
  <c r="A31" i="10" s="1"/>
  <c r="F27" i="7"/>
  <c r="F23" i="7"/>
  <c r="A23" i="10" s="1"/>
  <c r="F19" i="7"/>
  <c r="F16" i="7"/>
  <c r="A16" i="10" s="1"/>
  <c r="F38" i="7"/>
  <c r="F34" i="7"/>
  <c r="A34" i="10" s="1"/>
  <c r="F30" i="7"/>
  <c r="F26" i="7"/>
  <c r="A26" i="10" s="1"/>
  <c r="F22" i="7"/>
  <c r="A22" i="9" s="1"/>
  <c r="F29" i="7"/>
  <c r="A29" i="9" s="1"/>
  <c r="F25" i="7"/>
  <c r="A25" i="10" s="1"/>
  <c r="F21" i="7"/>
  <c r="A21" i="9" s="1"/>
  <c r="F17" i="7"/>
  <c r="A17" i="10" s="1"/>
  <c r="E18" i="8"/>
  <c r="A61" i="10"/>
  <c r="A61" i="9"/>
  <c r="A57" i="9"/>
  <c r="A57" i="10"/>
  <c r="A53" i="10"/>
  <c r="A53" i="9"/>
  <c r="A49" i="9"/>
  <c r="A49" i="10"/>
  <c r="A45" i="10"/>
  <c r="A45" i="9"/>
  <c r="A41" i="10"/>
  <c r="A41" i="9"/>
  <c r="A37" i="9"/>
  <c r="A37" i="10"/>
  <c r="A33" i="9"/>
  <c r="A33" i="10"/>
  <c r="A64" i="10"/>
  <c r="A64" i="9"/>
  <c r="A60" i="9"/>
  <c r="A60" i="10"/>
  <c r="A56" i="9"/>
  <c r="A56" i="10"/>
  <c r="A52" i="10"/>
  <c r="A52" i="9"/>
  <c r="A48" i="9"/>
  <c r="A48" i="10"/>
  <c r="A44" i="9"/>
  <c r="A44" i="10"/>
  <c r="A40" i="10"/>
  <c r="A40" i="9"/>
  <c r="A36" i="9"/>
  <c r="A36" i="10"/>
  <c r="A32" i="10"/>
  <c r="A32" i="9"/>
  <c r="A28" i="10"/>
  <c r="A28" i="9"/>
  <c r="A24" i="9"/>
  <c r="A24" i="10"/>
  <c r="A20" i="9"/>
  <c r="A20" i="10"/>
  <c r="A18" i="10"/>
  <c r="A18" i="9"/>
  <c r="A63" i="10"/>
  <c r="A63" i="9"/>
  <c r="A59" i="9"/>
  <c r="A59" i="10"/>
  <c r="A55" i="10"/>
  <c r="A55" i="9"/>
  <c r="A51" i="10"/>
  <c r="A51" i="9"/>
  <c r="A47" i="9"/>
  <c r="A47" i="10"/>
  <c r="A43" i="9"/>
  <c r="A43" i="10"/>
  <c r="A39" i="10"/>
  <c r="A39" i="9"/>
  <c r="A35" i="9"/>
  <c r="A35" i="10"/>
  <c r="A27" i="9"/>
  <c r="A27" i="10"/>
  <c r="A23" i="9"/>
  <c r="A19" i="9"/>
  <c r="A19" i="10"/>
  <c r="A62" i="10"/>
  <c r="A62" i="9"/>
  <c r="A58" i="9"/>
  <c r="A58" i="10"/>
  <c r="A54" i="9"/>
  <c r="A54" i="10"/>
  <c r="A50" i="10"/>
  <c r="A50" i="9"/>
  <c r="A46" i="9"/>
  <c r="A46" i="10"/>
  <c r="A42" i="9"/>
  <c r="A42" i="10"/>
  <c r="A38" i="9"/>
  <c r="A38" i="10"/>
  <c r="A34" i="9"/>
  <c r="A30" i="9"/>
  <c r="A30" i="10"/>
  <c r="A22" i="10"/>
  <c r="D15" i="5"/>
  <c r="C32" i="6"/>
  <c r="B34" i="12"/>
  <c r="F2" i="8"/>
  <c r="G1" i="8"/>
  <c r="I2" i="8" s="1"/>
  <c r="F1" i="8"/>
  <c r="G2" i="8"/>
  <c r="AN16" i="13"/>
  <c r="AM16" i="13"/>
  <c r="AK16" i="13"/>
  <c r="AJ16" i="13"/>
  <c r="Z21" i="11"/>
  <c r="W21" i="11"/>
  <c r="C21" i="11"/>
  <c r="L21" i="13"/>
  <c r="D21" i="13" s="1"/>
  <c r="AJ20" i="13"/>
  <c r="AN20" i="13"/>
  <c r="AM20" i="13"/>
  <c r="AK20" i="13"/>
  <c r="Z20" i="11"/>
  <c r="W20" i="11"/>
  <c r="L20" i="13"/>
  <c r="D20" i="13" s="1"/>
  <c r="C20" i="11"/>
  <c r="AM12" i="13"/>
  <c r="AK12" i="13"/>
  <c r="AJ12" i="13"/>
  <c r="AN12" i="13"/>
  <c r="AM21" i="13"/>
  <c r="AJ21" i="13"/>
  <c r="AK21" i="13"/>
  <c r="AN21" i="13"/>
  <c r="K12" i="13"/>
  <c r="M12" i="13"/>
  <c r="O12" i="13"/>
  <c r="R12" i="13"/>
  <c r="T12" i="13"/>
  <c r="U12" i="13"/>
  <c r="S12" i="13"/>
  <c r="O14" i="8"/>
  <c r="N14" i="8"/>
  <c r="P14" i="8"/>
  <c r="R16" i="8"/>
  <c r="C18" i="11"/>
  <c r="Z18" i="11"/>
  <c r="W18" i="11"/>
  <c r="L18" i="13"/>
  <c r="D18" i="13" s="1"/>
  <c r="AM19" i="13"/>
  <c r="AJ19" i="13"/>
  <c r="AK19" i="13"/>
  <c r="AN19" i="13"/>
  <c r="AJ23" i="13"/>
  <c r="AK23" i="13"/>
  <c r="AN23" i="13"/>
  <c r="AM23" i="13"/>
  <c r="Z22" i="11"/>
  <c r="C22" i="11"/>
  <c r="W22" i="11"/>
  <c r="L22" i="13"/>
  <c r="D22" i="13" s="1"/>
  <c r="AM17" i="13"/>
  <c r="AJ17" i="13"/>
  <c r="AK17" i="13"/>
  <c r="AN17" i="13"/>
  <c r="K16" i="13"/>
  <c r="U19" i="13"/>
  <c r="K19" i="13"/>
  <c r="S19" i="13"/>
  <c r="R19" i="13"/>
  <c r="M19" i="13"/>
  <c r="T19" i="13"/>
  <c r="O19" i="13"/>
  <c r="M23" i="13"/>
  <c r="K23" i="13"/>
  <c r="O23" i="13"/>
  <c r="S23" i="13"/>
  <c r="U23" i="13"/>
  <c r="T23" i="13"/>
  <c r="R23" i="13"/>
  <c r="O18" i="13"/>
  <c r="R18" i="13"/>
  <c r="S18" i="13"/>
  <c r="M18" i="13"/>
  <c r="U18" i="13"/>
  <c r="K18" i="13"/>
  <c r="T18" i="13"/>
  <c r="U20" i="13"/>
  <c r="S20" i="13"/>
  <c r="K20" i="13"/>
  <c r="R20" i="13"/>
  <c r="M20" i="13"/>
  <c r="O20" i="13"/>
  <c r="T20" i="13"/>
  <c r="AN22" i="13"/>
  <c r="AM22" i="13"/>
  <c r="AK22" i="13"/>
  <c r="AJ22" i="13"/>
  <c r="K17" i="13"/>
  <c r="Q1" i="8"/>
  <c r="R3" i="8"/>
  <c r="K22" i="13"/>
  <c r="S22" i="13"/>
  <c r="U22" i="13"/>
  <c r="O22" i="13"/>
  <c r="M22" i="13"/>
  <c r="R22" i="13"/>
  <c r="T22" i="13"/>
  <c r="K21" i="13"/>
  <c r="R21" i="13"/>
  <c r="S21" i="13"/>
  <c r="U21" i="13"/>
  <c r="M21" i="13"/>
  <c r="T21" i="13"/>
  <c r="O21" i="13"/>
  <c r="Z12" i="11"/>
  <c r="L12" i="13"/>
  <c r="C12" i="11"/>
  <c r="W12" i="11"/>
  <c r="W19" i="11"/>
  <c r="C19" i="11"/>
  <c r="Z19" i="11"/>
  <c r="L19" i="13"/>
  <c r="D19" i="13" s="1"/>
  <c r="Z23" i="11"/>
  <c r="C23" i="11"/>
  <c r="W23" i="11"/>
  <c r="L23" i="13"/>
  <c r="D23" i="13" s="1"/>
  <c r="AJ18" i="13"/>
  <c r="AN18" i="13"/>
  <c r="AM18" i="13"/>
  <c r="AK18" i="13"/>
  <c r="AM23" i="5"/>
  <c r="L23" i="5"/>
  <c r="Z23" i="5"/>
  <c r="I23" i="12"/>
  <c r="AB32" i="5"/>
  <c r="AA32" i="5"/>
  <c r="AO32" i="12"/>
  <c r="M32" i="12"/>
  <c r="O32" i="12"/>
  <c r="W263" i="12"/>
  <c r="U263" i="12" s="1"/>
  <c r="K32" i="12"/>
  <c r="K43" i="12"/>
  <c r="Y264" i="12"/>
  <c r="X264" i="12" s="1"/>
  <c r="J53" i="12"/>
  <c r="L53" i="12"/>
  <c r="D66" i="12"/>
  <c r="E66" i="6"/>
  <c r="X66" i="12"/>
  <c r="W66" i="12"/>
  <c r="C74" i="12"/>
  <c r="J74" i="12"/>
  <c r="L74" i="12"/>
  <c r="E264" i="6"/>
  <c r="D264" i="12"/>
  <c r="K66" i="12"/>
  <c r="N264" i="12"/>
  <c r="C74" i="6"/>
  <c r="O74" i="5"/>
  <c r="D32" i="12"/>
  <c r="E32" i="6"/>
  <c r="T262" i="12"/>
  <c r="U262" i="12"/>
  <c r="V262" i="12"/>
  <c r="AD22" i="6" l="1"/>
  <c r="AB22" i="6"/>
  <c r="AC22" i="6"/>
  <c r="I22" i="5"/>
  <c r="I23" i="5" s="1"/>
  <c r="I24" i="5" s="1"/>
  <c r="I25" i="5" s="1"/>
  <c r="AB265" i="5"/>
  <c r="AO265" i="12"/>
  <c r="Y265" i="12" s="1"/>
  <c r="W265" i="12" s="1"/>
  <c r="O265" i="5"/>
  <c r="E265" i="6" s="1"/>
  <c r="AC28" i="6"/>
  <c r="AD28" i="6"/>
  <c r="AB28" i="6"/>
  <c r="X27" i="5"/>
  <c r="X17" i="5" s="1"/>
  <c r="R17" i="8" s="1"/>
  <c r="F18" i="8" s="1"/>
  <c r="AA74" i="5"/>
  <c r="Z28" i="5"/>
  <c r="L28" i="5"/>
  <c r="AM28" i="5"/>
  <c r="I28" i="12"/>
  <c r="C265" i="12"/>
  <c r="M265" i="12"/>
  <c r="N265" i="12" s="1"/>
  <c r="Z22" i="5"/>
  <c r="I22" i="12"/>
  <c r="L22" i="12" s="1"/>
  <c r="L22" i="5"/>
  <c r="C22" i="6" s="1"/>
  <c r="AM22" i="5"/>
  <c r="I50" i="12"/>
  <c r="C50" i="12" s="1"/>
  <c r="Z50" i="5"/>
  <c r="AM50" i="5"/>
  <c r="L50" i="12"/>
  <c r="O50" i="5"/>
  <c r="C50" i="6"/>
  <c r="AC35" i="6"/>
  <c r="AB35" i="6"/>
  <c r="AD35" i="6"/>
  <c r="O17" i="11"/>
  <c r="O16" i="11"/>
  <c r="L35" i="5"/>
  <c r="C35" i="6" s="1"/>
  <c r="Z35" i="5"/>
  <c r="AB35" i="5" s="1"/>
  <c r="AM35" i="5"/>
  <c r="I35" i="12"/>
  <c r="AO35" i="12" s="1"/>
  <c r="A16" i="9"/>
  <c r="A31" i="9"/>
  <c r="A29" i="10"/>
  <c r="A26" i="9"/>
  <c r="A21" i="10"/>
  <c r="A17" i="9"/>
  <c r="A25" i="9"/>
  <c r="L17" i="8"/>
  <c r="T263" i="12"/>
  <c r="V263" i="12"/>
  <c r="T1" i="8"/>
  <c r="Y1" i="8"/>
  <c r="W3" i="8"/>
  <c r="AB1" i="8"/>
  <c r="T3" i="8"/>
  <c r="AA3" i="8"/>
  <c r="V1" i="8"/>
  <c r="U3" i="8"/>
  <c r="Z1" i="8"/>
  <c r="AE1" i="8"/>
  <c r="AE3" i="8"/>
  <c r="C1" i="8"/>
  <c r="X1" i="8"/>
  <c r="E3" i="8"/>
  <c r="AB3" i="8"/>
  <c r="AC3" i="8"/>
  <c r="B1" i="8"/>
  <c r="AD1" i="8"/>
  <c r="AC1" i="8"/>
  <c r="W1" i="8"/>
  <c r="D3" i="8"/>
  <c r="AD3" i="8"/>
  <c r="U1" i="8"/>
  <c r="Z3" i="8"/>
  <c r="X3" i="8"/>
  <c r="D1" i="8"/>
  <c r="Y3" i="8"/>
  <c r="AA1" i="8"/>
  <c r="V3" i="8"/>
  <c r="N21" i="13"/>
  <c r="P21" i="13"/>
  <c r="N20" i="13"/>
  <c r="P20" i="13"/>
  <c r="P18" i="13"/>
  <c r="N18" i="13"/>
  <c r="P19" i="13"/>
  <c r="N19" i="13"/>
  <c r="D12" i="13"/>
  <c r="V12" i="13"/>
  <c r="N22" i="13"/>
  <c r="P22" i="13"/>
  <c r="P23" i="13"/>
  <c r="N23" i="13"/>
  <c r="P12" i="13"/>
  <c r="N12" i="13"/>
  <c r="W264" i="12"/>
  <c r="U264" i="12" s="1"/>
  <c r="C23" i="6"/>
  <c r="L23" i="12"/>
  <c r="J23" i="12"/>
  <c r="C23" i="12"/>
  <c r="M74" i="12"/>
  <c r="M15" i="12"/>
  <c r="J15" i="12" s="1"/>
  <c r="N32" i="12"/>
  <c r="Y32" i="12"/>
  <c r="K74" i="12"/>
  <c r="T66" i="12"/>
  <c r="V66" i="12"/>
  <c r="U66" i="12"/>
  <c r="AB74" i="5"/>
  <c r="D74" i="12"/>
  <c r="E74" i="6"/>
  <c r="AO74" i="12"/>
  <c r="K53" i="12"/>
  <c r="O74" i="12"/>
  <c r="O15" i="12" s="1"/>
  <c r="D265" i="12" l="1"/>
  <c r="O24" i="5"/>
  <c r="D24" i="12" s="1"/>
  <c r="O23" i="5"/>
  <c r="D23" i="12" s="1"/>
  <c r="AM17" i="5"/>
  <c r="Z17" i="5"/>
  <c r="I17" i="12"/>
  <c r="L17" i="5"/>
  <c r="F17" i="8"/>
  <c r="O22" i="5"/>
  <c r="E22" i="6" s="1"/>
  <c r="J22" i="12"/>
  <c r="K22" i="12" s="1"/>
  <c r="C22" i="12"/>
  <c r="AO28" i="12"/>
  <c r="AB28" i="5"/>
  <c r="C28" i="6"/>
  <c r="AM27" i="5"/>
  <c r="I27" i="12"/>
  <c r="L27" i="5"/>
  <c r="C27" i="6" s="1"/>
  <c r="Z27" i="5"/>
  <c r="O15" i="11"/>
  <c r="L28" i="12"/>
  <c r="O28" i="12" s="1"/>
  <c r="J28" i="12"/>
  <c r="M28" i="12" s="1"/>
  <c r="C28" i="12"/>
  <c r="AB50" i="5"/>
  <c r="AO50" i="12"/>
  <c r="M50" i="12"/>
  <c r="J50" i="12"/>
  <c r="K50" i="12" s="1"/>
  <c r="O50" i="12"/>
  <c r="E50" i="6"/>
  <c r="D50" i="12"/>
  <c r="W17" i="11"/>
  <c r="L17" i="13"/>
  <c r="D17" i="13" s="1"/>
  <c r="C17" i="11"/>
  <c r="AB23" i="5"/>
  <c r="L35" i="12"/>
  <c r="O35" i="12" s="1"/>
  <c r="J35" i="12"/>
  <c r="M35" i="12" s="1"/>
  <c r="C35" i="12"/>
  <c r="L16" i="13"/>
  <c r="D16" i="13" s="1"/>
  <c r="W16" i="11"/>
  <c r="C16" i="11"/>
  <c r="AH15" i="13"/>
  <c r="AE15" i="13"/>
  <c r="AE14" i="13"/>
  <c r="AH14" i="13"/>
  <c r="AC12" i="13"/>
  <c r="AG12" i="13"/>
  <c r="AC23" i="13"/>
  <c r="AC20" i="13"/>
  <c r="AF22" i="13"/>
  <c r="AD21" i="13"/>
  <c r="AC21" i="13"/>
  <c r="AD19" i="13"/>
  <c r="AH16" i="13"/>
  <c r="O16" i="13" s="1"/>
  <c r="AE18" i="13"/>
  <c r="AF18" i="13"/>
  <c r="AH12" i="13"/>
  <c r="AF12" i="13"/>
  <c r="AD23" i="13"/>
  <c r="AH23" i="13"/>
  <c r="AF20" i="13"/>
  <c r="AG22" i="13"/>
  <c r="AF21" i="13"/>
  <c r="AC19" i="13"/>
  <c r="AF19" i="13"/>
  <c r="AG17" i="13"/>
  <c r="AD18" i="13"/>
  <c r="AH21" i="13"/>
  <c r="AG19" i="13"/>
  <c r="AE12" i="13"/>
  <c r="AF23" i="13"/>
  <c r="AE20" i="13"/>
  <c r="AG20" i="13"/>
  <c r="AE22" i="13"/>
  <c r="AE21" i="13"/>
  <c r="AH19" i="13"/>
  <c r="AG18" i="13"/>
  <c r="AE23" i="13"/>
  <c r="AH22" i="13"/>
  <c r="AH18" i="13"/>
  <c r="AD12" i="13"/>
  <c r="AG23" i="13"/>
  <c r="AH20" i="13"/>
  <c r="AD22" i="13"/>
  <c r="AC22" i="13"/>
  <c r="AG21" i="13"/>
  <c r="AE19" i="13"/>
  <c r="AE16" i="13"/>
  <c r="M16" i="13" s="1"/>
  <c r="AE17" i="13"/>
  <c r="M17" i="13" s="1"/>
  <c r="AH17" i="13"/>
  <c r="O17" i="13" s="1"/>
  <c r="AC18" i="13"/>
  <c r="AD20" i="13"/>
  <c r="I26" i="5"/>
  <c r="O25" i="5"/>
  <c r="E24" i="6"/>
  <c r="E21" i="8"/>
  <c r="R19" i="8"/>
  <c r="P17" i="8"/>
  <c r="O17" i="8"/>
  <c r="AO23" i="12"/>
  <c r="V264" i="12"/>
  <c r="T264" i="12"/>
  <c r="K23" i="12"/>
  <c r="M23" i="12"/>
  <c r="O23" i="12"/>
  <c r="L15" i="12"/>
  <c r="K15" i="12" s="1"/>
  <c r="N10" i="12"/>
  <c r="N15" i="12"/>
  <c r="N74" i="12"/>
  <c r="W32" i="12"/>
  <c r="X32" i="12"/>
  <c r="X265" i="12"/>
  <c r="V265" i="12"/>
  <c r="U265" i="12"/>
  <c r="T265" i="12"/>
  <c r="Y74" i="12"/>
  <c r="E23" i="6" l="1"/>
  <c r="D22" i="12"/>
  <c r="O17" i="5"/>
  <c r="C17" i="6"/>
  <c r="C17" i="12"/>
  <c r="J17" i="12"/>
  <c r="L17" i="12"/>
  <c r="N28" i="12"/>
  <c r="N50" i="12"/>
  <c r="O27" i="12"/>
  <c r="Y28" i="12"/>
  <c r="W15" i="11"/>
  <c r="L15" i="13"/>
  <c r="D15" i="13" s="1"/>
  <c r="C15" i="11"/>
  <c r="L27" i="12"/>
  <c r="J27" i="12"/>
  <c r="C27" i="12"/>
  <c r="M27" i="12"/>
  <c r="K28" i="12"/>
  <c r="AB27" i="5"/>
  <c r="AO27" i="12"/>
  <c r="Y50" i="12"/>
  <c r="N35" i="12"/>
  <c r="AB22" i="5"/>
  <c r="Y35" i="12"/>
  <c r="W35" i="12" s="1"/>
  <c r="U35" i="12" s="1"/>
  <c r="AD17" i="13"/>
  <c r="N17" i="13"/>
  <c r="P17" i="13"/>
  <c r="AG15" i="13"/>
  <c r="AB16" i="11"/>
  <c r="N16" i="11" s="1"/>
  <c r="K35" i="12"/>
  <c r="AG16" i="13"/>
  <c r="AD16" i="13"/>
  <c r="P16" i="13"/>
  <c r="N16" i="13"/>
  <c r="AD15" i="13"/>
  <c r="I27" i="5"/>
  <c r="O26" i="5"/>
  <c r="D25" i="12"/>
  <c r="E25" i="6"/>
  <c r="L20" i="8"/>
  <c r="O20" i="8" s="1"/>
  <c r="AO22" i="12"/>
  <c r="N23" i="12"/>
  <c r="O22" i="12"/>
  <c r="M22" i="12"/>
  <c r="AO15" i="13"/>
  <c r="O15" i="13" s="1"/>
  <c r="AN15" i="13"/>
  <c r="AK15" i="13"/>
  <c r="Y23" i="12"/>
  <c r="T32" i="12"/>
  <c r="V32" i="12"/>
  <c r="U32" i="12"/>
  <c r="W74" i="12"/>
  <c r="X74" i="12"/>
  <c r="AO17" i="12" l="1"/>
  <c r="AB17" i="5"/>
  <c r="K17" i="12"/>
  <c r="AL15" i="13"/>
  <c r="M15" i="13" s="1"/>
  <c r="N15" i="13" s="1"/>
  <c r="M17" i="12"/>
  <c r="AM15" i="13"/>
  <c r="O17" i="12"/>
  <c r="E17" i="6"/>
  <c r="H17" i="8"/>
  <c r="D17" i="12"/>
  <c r="Y27" i="12"/>
  <c r="W27" i="12" s="1"/>
  <c r="N27" i="12"/>
  <c r="X28" i="12"/>
  <c r="W28" i="12"/>
  <c r="K27" i="12"/>
  <c r="AB15" i="11"/>
  <c r="N15" i="11" s="1"/>
  <c r="X35" i="12"/>
  <c r="S16" i="13"/>
  <c r="U16" i="13"/>
  <c r="V35" i="12"/>
  <c r="T35" i="12"/>
  <c r="I28" i="5"/>
  <c r="O27" i="5"/>
  <c r="X50" i="12"/>
  <c r="W50" i="12"/>
  <c r="D26" i="12"/>
  <c r="E26" i="6"/>
  <c r="P20" i="8"/>
  <c r="E24" i="8"/>
  <c r="R22" i="8"/>
  <c r="AJ15" i="13"/>
  <c r="N22" i="12"/>
  <c r="Y22" i="12"/>
  <c r="W23" i="12"/>
  <c r="X23" i="12"/>
  <c r="P15" i="13"/>
  <c r="V74" i="12"/>
  <c r="U74" i="12"/>
  <c r="T74" i="12"/>
  <c r="X27" i="12" l="1"/>
  <c r="N17" i="12"/>
  <c r="AD14" i="13"/>
  <c r="AG14" i="13"/>
  <c r="Y17" i="12"/>
  <c r="U15" i="13"/>
  <c r="S15" i="13"/>
  <c r="I29" i="5"/>
  <c r="I30" i="5" s="1"/>
  <c r="O28" i="5"/>
  <c r="U28" i="12"/>
  <c r="V28" i="12"/>
  <c r="T28" i="12"/>
  <c r="U27" i="12"/>
  <c r="T27" i="12"/>
  <c r="V27" i="12"/>
  <c r="E27" i="6"/>
  <c r="D27" i="12"/>
  <c r="U50" i="12"/>
  <c r="T50" i="12"/>
  <c r="V50" i="12"/>
  <c r="AA38" i="5"/>
  <c r="AA26" i="5"/>
  <c r="AA25" i="5"/>
  <c r="AA20" i="5"/>
  <c r="L23" i="8"/>
  <c r="P23" i="8" s="1"/>
  <c r="X22" i="12"/>
  <c r="W22" i="12"/>
  <c r="U23" i="12"/>
  <c r="V23" i="12"/>
  <c r="T23" i="12"/>
  <c r="X17" i="12" l="1"/>
  <c r="W17" i="12"/>
  <c r="I31" i="5"/>
  <c r="I32" i="5" s="1"/>
  <c r="I33" i="5" s="1"/>
  <c r="I34" i="5" s="1"/>
  <c r="I35" i="5" s="1"/>
  <c r="O30" i="5"/>
  <c r="O29" i="5"/>
  <c r="D29" i="12" s="1"/>
  <c r="AA29" i="5"/>
  <c r="AA31" i="5"/>
  <c r="AA19" i="5"/>
  <c r="AA18" i="5"/>
  <c r="AA28" i="5"/>
  <c r="AA24" i="5"/>
  <c r="D28" i="12"/>
  <c r="E28" i="6"/>
  <c r="O23" i="8"/>
  <c r="R25" i="8"/>
  <c r="E27" i="8"/>
  <c r="V22" i="12"/>
  <c r="T22" i="12"/>
  <c r="U22" i="12"/>
  <c r="AA51" i="5" l="1"/>
  <c r="AA50" i="5" s="1"/>
  <c r="AA30" i="5"/>
  <c r="T17" i="12"/>
  <c r="U17" i="12"/>
  <c r="V17" i="12"/>
  <c r="E29" i="6"/>
  <c r="I36" i="5"/>
  <c r="O35" i="5"/>
  <c r="E35" i="6" s="1"/>
  <c r="O31" i="5"/>
  <c r="E31" i="6" s="1"/>
  <c r="D30" i="12"/>
  <c r="E30" i="6"/>
  <c r="AA27" i="5"/>
  <c r="AA15" i="11" s="1"/>
  <c r="AA17" i="11"/>
  <c r="AC17" i="13"/>
  <c r="AF17" i="13"/>
  <c r="AA16" i="11"/>
  <c r="Z16" i="11" s="1"/>
  <c r="AF16" i="13"/>
  <c r="AC16" i="13"/>
  <c r="AF15" i="13"/>
  <c r="AC15" i="13"/>
  <c r="O38" i="5"/>
  <c r="L26" i="8"/>
  <c r="D31" i="12" l="1"/>
  <c r="D35" i="12"/>
  <c r="O36" i="5"/>
  <c r="I37" i="5"/>
  <c r="T17" i="13"/>
  <c r="R17" i="13"/>
  <c r="R16" i="13"/>
  <c r="T16" i="13"/>
  <c r="T15" i="13"/>
  <c r="R15" i="13"/>
  <c r="Z15" i="11"/>
  <c r="P26" i="8"/>
  <c r="E38" i="6"/>
  <c r="D38" i="12"/>
  <c r="O26" i="8"/>
  <c r="R28" i="8"/>
  <c r="E30" i="8"/>
  <c r="I38" i="5" l="1"/>
  <c r="O37" i="5"/>
  <c r="AC14" i="13"/>
  <c r="AF14" i="13"/>
  <c r="E36" i="6"/>
  <c r="D36" i="12"/>
  <c r="L29" i="8"/>
  <c r="P29" i="8" s="1"/>
  <c r="H29" i="8"/>
  <c r="R29" i="8"/>
  <c r="E37" i="6" l="1"/>
  <c r="D37" i="12"/>
  <c r="O29" i="8"/>
  <c r="F29" i="8"/>
  <c r="F30" i="8"/>
  <c r="R31" i="8"/>
  <c r="E33" i="8"/>
  <c r="R32" i="8" l="1"/>
  <c r="F33" i="8" s="1"/>
  <c r="H32" i="8"/>
  <c r="L32" i="8"/>
  <c r="P32" i="8" l="1"/>
  <c r="M17" i="8"/>
  <c r="M20" i="8"/>
  <c r="M14" i="8"/>
  <c r="Q14" i="8" s="1"/>
  <c r="O32" i="8"/>
  <c r="R34" i="8"/>
  <c r="E36" i="8"/>
  <c r="F32" i="8"/>
  <c r="E16" i="8" l="1"/>
  <c r="C14" i="8"/>
  <c r="B14" i="8"/>
  <c r="I35" i="8"/>
  <c r="H35" i="8"/>
  <c r="R35" i="8"/>
  <c r="L35" i="8"/>
  <c r="P35" i="8" l="1"/>
  <c r="M29" i="8"/>
  <c r="M23" i="8"/>
  <c r="M26" i="8"/>
  <c r="O35" i="8"/>
  <c r="R37" i="8"/>
  <c r="M32" i="8"/>
  <c r="E39" i="8"/>
  <c r="F36" i="8"/>
  <c r="G36" i="8"/>
  <c r="G35" i="8"/>
  <c r="I36" i="8" s="1"/>
  <c r="F35" i="8"/>
  <c r="H38" i="8" l="1"/>
  <c r="L38" i="8"/>
  <c r="P38" i="8" s="1"/>
  <c r="I38" i="8"/>
  <c r="R38" i="8"/>
  <c r="I52" i="5" l="1"/>
  <c r="O51" i="5"/>
  <c r="O38" i="8"/>
  <c r="F39" i="8"/>
  <c r="G38" i="8"/>
  <c r="I39" i="8" s="1"/>
  <c r="G39" i="8"/>
  <c r="F38" i="8"/>
  <c r="N38" i="8"/>
  <c r="R40" i="8"/>
  <c r="M35" i="8"/>
  <c r="E42" i="8"/>
  <c r="D51" i="12" l="1"/>
  <c r="E51" i="6"/>
  <c r="H41" i="8"/>
  <c r="I41" i="8"/>
  <c r="R41" i="8"/>
  <c r="F41" i="8" s="1"/>
  <c r="L41" i="8"/>
  <c r="N41" i="8" s="1"/>
  <c r="P41" i="8" l="1"/>
  <c r="O41" i="8"/>
  <c r="R43" i="8"/>
  <c r="M38" i="8"/>
  <c r="Q38" i="8" s="1"/>
  <c r="E45" i="8"/>
  <c r="F42" i="8"/>
  <c r="G42" i="8"/>
  <c r="G41" i="8"/>
  <c r="I42" i="8" s="1"/>
  <c r="AC40" i="8" l="1"/>
  <c r="AC38" i="8" s="1"/>
  <c r="W40" i="8"/>
  <c r="W38" i="8" s="1"/>
  <c r="D40" i="8"/>
  <c r="D38" i="8" s="1"/>
  <c r="AA40" i="8"/>
  <c r="AA38" i="8" s="1"/>
  <c r="T40" i="8"/>
  <c r="T38" i="8" s="1"/>
  <c r="Z40" i="8"/>
  <c r="Z38" i="8" s="1"/>
  <c r="AB40" i="8"/>
  <c r="AB38" i="8" s="1"/>
  <c r="AE40" i="8"/>
  <c r="AE38" i="8" s="1"/>
  <c r="E40" i="8"/>
  <c r="X40" i="8"/>
  <c r="X38" i="8" s="1"/>
  <c r="Y40" i="8"/>
  <c r="Y38" i="8" s="1"/>
  <c r="C38" i="8"/>
  <c r="U40" i="8"/>
  <c r="U38" i="8" s="1"/>
  <c r="B38" i="8"/>
  <c r="V40" i="8"/>
  <c r="V38" i="8" s="1"/>
  <c r="AD40" i="8"/>
  <c r="AD38" i="8" s="1"/>
  <c r="H44" i="8"/>
  <c r="I44" i="8"/>
  <c r="L44" i="8"/>
  <c r="P44" i="8" s="1"/>
  <c r="R44" i="8"/>
  <c r="F44" i="8" s="1"/>
  <c r="N44" i="8" l="1"/>
  <c r="F45" i="8"/>
  <c r="G44" i="8"/>
  <c r="I45" i="8" s="1"/>
  <c r="G45" i="8"/>
  <c r="O44" i="8"/>
  <c r="R46" i="8"/>
  <c r="M41" i="8"/>
  <c r="Q41" i="8" s="1"/>
  <c r="E48" i="8"/>
  <c r="V43" i="8" l="1"/>
  <c r="V41" i="8" s="1"/>
  <c r="W43" i="8"/>
  <c r="W41" i="8" s="1"/>
  <c r="C41" i="8"/>
  <c r="AA43" i="8"/>
  <c r="AA41" i="8" s="1"/>
  <c r="AC43" i="8"/>
  <c r="AC41" i="8" s="1"/>
  <c r="Y43" i="8"/>
  <c r="Y41" i="8" s="1"/>
  <c r="Z43" i="8"/>
  <c r="Z41" i="8" s="1"/>
  <c r="D43" i="8"/>
  <c r="D41" i="8" s="1"/>
  <c r="AB43" i="8"/>
  <c r="AB41" i="8" s="1"/>
  <c r="X43" i="8"/>
  <c r="X41" i="8" s="1"/>
  <c r="E43" i="8"/>
  <c r="AE43" i="8"/>
  <c r="AE41" i="8" s="1"/>
  <c r="B41" i="8"/>
  <c r="AD43" i="8"/>
  <c r="AD41" i="8" s="1"/>
  <c r="U43" i="8"/>
  <c r="U41" i="8" s="1"/>
  <c r="T43" i="8"/>
  <c r="T41" i="8" s="1"/>
  <c r="L47" i="8"/>
  <c r="M44" i="8" s="1"/>
  <c r="Q44" i="8" s="1"/>
  <c r="AE46" i="8" s="1"/>
  <c r="AE44" i="8" s="1"/>
  <c r="H47" i="8"/>
  <c r="R47" i="8"/>
  <c r="F47" i="8" s="1"/>
  <c r="I47" i="8"/>
  <c r="N47" i="8"/>
  <c r="P47" i="8" l="1"/>
  <c r="D46" i="8"/>
  <c r="D44" i="8" s="1"/>
  <c r="AA46" i="8"/>
  <c r="AA44" i="8" s="1"/>
  <c r="AC46" i="8"/>
  <c r="AC44" i="8" s="1"/>
  <c r="X46" i="8"/>
  <c r="X44" i="8" s="1"/>
  <c r="W46" i="8"/>
  <c r="W44" i="8" s="1"/>
  <c r="Z46" i="8"/>
  <c r="Z44" i="8" s="1"/>
  <c r="E46" i="8"/>
  <c r="U46" i="8"/>
  <c r="U44" i="8" s="1"/>
  <c r="C44" i="8"/>
  <c r="B44" i="8"/>
  <c r="AD46" i="8"/>
  <c r="AD44" i="8" s="1"/>
  <c r="V46" i="8"/>
  <c r="V44" i="8" s="1"/>
  <c r="T46" i="8"/>
  <c r="T44" i="8" s="1"/>
  <c r="Y46" i="8"/>
  <c r="Y44" i="8" s="1"/>
  <c r="AB46" i="8"/>
  <c r="AB44" i="8" s="1"/>
  <c r="F48" i="8"/>
  <c r="G48" i="8"/>
  <c r="G47" i="8"/>
  <c r="I48" i="8" s="1"/>
  <c r="O47" i="8"/>
  <c r="R49" i="8"/>
  <c r="E51" i="8"/>
  <c r="L50" i="8" l="1"/>
  <c r="P50" i="8" s="1"/>
  <c r="R50" i="8"/>
  <c r="F51" i="8" s="1"/>
  <c r="I50" i="8"/>
  <c r="H50" i="8"/>
  <c r="O50" i="8" l="1"/>
  <c r="N50" i="8"/>
  <c r="F50" i="8"/>
  <c r="G51" i="8"/>
  <c r="G50" i="8"/>
  <c r="I51" i="8" s="1"/>
  <c r="M47" i="8"/>
  <c r="Q47" i="8" s="1"/>
  <c r="R52" i="8"/>
  <c r="E54" i="8"/>
  <c r="C47" i="8" l="1"/>
  <c r="V49" i="8"/>
  <c r="V47" i="8" s="1"/>
  <c r="D49" i="8"/>
  <c r="D47" i="8" s="1"/>
  <c r="X49" i="8"/>
  <c r="X47" i="8" s="1"/>
  <c r="E49" i="8"/>
  <c r="U49" i="8"/>
  <c r="U47" i="8" s="1"/>
  <c r="AD49" i="8"/>
  <c r="AD47" i="8" s="1"/>
  <c r="AA49" i="8"/>
  <c r="AA47" i="8" s="1"/>
  <c r="AE49" i="8"/>
  <c r="AE47" i="8" s="1"/>
  <c r="AC49" i="8"/>
  <c r="AC47" i="8" s="1"/>
  <c r="AB49" i="8"/>
  <c r="AB47" i="8" s="1"/>
  <c r="W49" i="8"/>
  <c r="W47" i="8" s="1"/>
  <c r="B47" i="8"/>
  <c r="Z49" i="8"/>
  <c r="Z47" i="8" s="1"/>
  <c r="Y49" i="8"/>
  <c r="Y47" i="8" s="1"/>
  <c r="T49" i="8"/>
  <c r="T47" i="8" s="1"/>
  <c r="I53" i="8"/>
  <c r="L53" i="8"/>
  <c r="P53" i="8" s="1"/>
  <c r="H53" i="8"/>
  <c r="R53" i="8"/>
  <c r="F53" i="8" s="1"/>
  <c r="O53" i="8" l="1"/>
  <c r="N53" i="8"/>
  <c r="M50" i="8"/>
  <c r="Q50" i="8" s="1"/>
  <c r="R55" i="8"/>
  <c r="E57" i="8"/>
  <c r="F54" i="8"/>
  <c r="G53" i="8"/>
  <c r="I54" i="8" s="1"/>
  <c r="G54" i="8"/>
  <c r="H56" i="8" l="1"/>
  <c r="I56" i="8"/>
  <c r="R56" i="8"/>
  <c r="L56" i="8"/>
  <c r="N56" i="8" s="1"/>
  <c r="C50" i="8"/>
  <c r="E52" i="8"/>
  <c r="AD52" i="8"/>
  <c r="AD50" i="8" s="1"/>
  <c r="AC52" i="8"/>
  <c r="AC50" i="8" s="1"/>
  <c r="X52" i="8"/>
  <c r="X50" i="8" s="1"/>
  <c r="V52" i="8"/>
  <c r="V50" i="8" s="1"/>
  <c r="B50" i="8"/>
  <c r="U52" i="8"/>
  <c r="U50" i="8" s="1"/>
  <c r="Z52" i="8"/>
  <c r="Z50" i="8" s="1"/>
  <c r="D52" i="8"/>
  <c r="D50" i="8" s="1"/>
  <c r="W52" i="8"/>
  <c r="W50" i="8" s="1"/>
  <c r="AB52" i="8"/>
  <c r="AB50" i="8" s="1"/>
  <c r="AE52" i="8"/>
  <c r="AE50" i="8" s="1"/>
  <c r="T52" i="8"/>
  <c r="T50" i="8" s="1"/>
  <c r="Y52" i="8"/>
  <c r="Y50" i="8" s="1"/>
  <c r="AA52" i="8"/>
  <c r="AA50" i="8" s="1"/>
  <c r="O56" i="8" l="1"/>
  <c r="P56" i="8"/>
  <c r="F56" i="8"/>
  <c r="G57" i="8"/>
  <c r="G56" i="8"/>
  <c r="I57" i="8" s="1"/>
  <c r="F57" i="8"/>
  <c r="M53" i="8"/>
  <c r="Q53" i="8" s="1"/>
  <c r="R58" i="8"/>
  <c r="E60" i="8"/>
  <c r="P59" i="8" l="1"/>
  <c r="N59" i="8"/>
  <c r="M59" i="8"/>
  <c r="I59" i="8"/>
  <c r="L59" i="8"/>
  <c r="M56" i="8" s="1"/>
  <c r="Q56" i="8" s="1"/>
  <c r="C56" i="8" s="1"/>
  <c r="R59" i="8"/>
  <c r="O59" i="8"/>
  <c r="H59" i="8"/>
  <c r="E55" i="8"/>
  <c r="Y55" i="8"/>
  <c r="Y53" i="8" s="1"/>
  <c r="AE55" i="8"/>
  <c r="AE53" i="8" s="1"/>
  <c r="AA55" i="8"/>
  <c r="AA53" i="8" s="1"/>
  <c r="D55" i="8"/>
  <c r="D53" i="8" s="1"/>
  <c r="B53" i="8"/>
  <c r="Z55" i="8"/>
  <c r="Z53" i="8" s="1"/>
  <c r="V55" i="8"/>
  <c r="V53" i="8" s="1"/>
  <c r="AB55" i="8"/>
  <c r="AB53" i="8" s="1"/>
  <c r="W55" i="8"/>
  <c r="W53" i="8" s="1"/>
  <c r="U55" i="8"/>
  <c r="U53" i="8" s="1"/>
  <c r="AC55" i="8"/>
  <c r="AC53" i="8" s="1"/>
  <c r="X55" i="8"/>
  <c r="X53" i="8" s="1"/>
  <c r="T55" i="8"/>
  <c r="T53" i="8" s="1"/>
  <c r="C53" i="8"/>
  <c r="AD55" i="8"/>
  <c r="AD53" i="8" s="1"/>
  <c r="B56" i="8" l="1"/>
  <c r="E58" i="8"/>
  <c r="AC58" i="8"/>
  <c r="AC56" i="8" s="1"/>
  <c r="F59" i="8"/>
  <c r="F60" i="8"/>
  <c r="Q59" i="8"/>
  <c r="R61" i="8"/>
  <c r="E63" i="8"/>
  <c r="Z58" i="8"/>
  <c r="Z56" i="8" s="1"/>
  <c r="T58" i="8"/>
  <c r="T56" i="8" s="1"/>
  <c r="AE58" i="8"/>
  <c r="AE56" i="8" s="1"/>
  <c r="U58" i="8"/>
  <c r="U56" i="8" s="1"/>
  <c r="Y58" i="8"/>
  <c r="Y56" i="8" s="1"/>
  <c r="D58" i="8"/>
  <c r="D56" i="8" s="1"/>
  <c r="AA58" i="8"/>
  <c r="AA56" i="8" s="1"/>
  <c r="W58" i="8"/>
  <c r="W56" i="8" s="1"/>
  <c r="X58" i="8"/>
  <c r="X56" i="8" s="1"/>
  <c r="G60" i="8"/>
  <c r="G59" i="8"/>
  <c r="I60" i="8" s="1"/>
  <c r="AD58" i="8"/>
  <c r="AD56" i="8" s="1"/>
  <c r="AB58" i="8"/>
  <c r="AB56" i="8" s="1"/>
  <c r="V58" i="8"/>
  <c r="V56" i="8" s="1"/>
  <c r="M62" i="8" l="1"/>
  <c r="N62" i="8"/>
  <c r="L62" i="8"/>
  <c r="R62" i="8"/>
  <c r="U61" i="8" s="1"/>
  <c r="U59" i="8" s="1"/>
  <c r="P62" i="8"/>
  <c r="I62" i="8"/>
  <c r="O62" i="8"/>
  <c r="H62" i="8"/>
  <c r="E61" i="8"/>
  <c r="C59" i="8"/>
  <c r="B59" i="8"/>
  <c r="AE61" i="8"/>
  <c r="AE59" i="8" s="1"/>
  <c r="W61" i="8" l="1"/>
  <c r="W59" i="8" s="1"/>
  <c r="X61" i="8"/>
  <c r="X59" i="8" s="1"/>
  <c r="Y61" i="8"/>
  <c r="Y59" i="8" s="1"/>
  <c r="V61" i="8"/>
  <c r="V59" i="8" s="1"/>
  <c r="D61" i="8"/>
  <c r="D59" i="8" s="1"/>
  <c r="AD61" i="8"/>
  <c r="AD59" i="8" s="1"/>
  <c r="AB61" i="8"/>
  <c r="AB59" i="8" s="1"/>
  <c r="Z61" i="8"/>
  <c r="Z59" i="8" s="1"/>
  <c r="AC61" i="8"/>
  <c r="AC59" i="8" s="1"/>
  <c r="AA61" i="8"/>
  <c r="AA59" i="8" s="1"/>
  <c r="T61" i="8"/>
  <c r="T59" i="8" s="1"/>
  <c r="F63" i="8"/>
  <c r="G63" i="8"/>
  <c r="G62" i="8"/>
  <c r="I63" i="8" s="1"/>
  <c r="Q62" i="8"/>
  <c r="R64" i="8"/>
  <c r="E66" i="8"/>
  <c r="F62" i="8"/>
  <c r="E64" i="8" l="1"/>
  <c r="B62" i="8"/>
  <c r="C62" i="8"/>
  <c r="P65" i="8"/>
  <c r="O65" i="8"/>
  <c r="I65" i="8"/>
  <c r="H65" i="8"/>
  <c r="N65" i="8"/>
  <c r="L65" i="8"/>
  <c r="M65" i="8"/>
  <c r="R65" i="8"/>
  <c r="AE64" i="8" s="1"/>
  <c r="AE62" i="8" s="1"/>
  <c r="U64" i="8" l="1"/>
  <c r="U62" i="8" s="1"/>
  <c r="AC64" i="8"/>
  <c r="AC62" i="8" s="1"/>
  <c r="D64" i="8"/>
  <c r="D62" i="8" s="1"/>
  <c r="X64" i="8"/>
  <c r="X62" i="8" s="1"/>
  <c r="T64" i="8"/>
  <c r="T62" i="8" s="1"/>
  <c r="Z64" i="8"/>
  <c r="Z62" i="8" s="1"/>
  <c r="V64" i="8"/>
  <c r="V62" i="8" s="1"/>
  <c r="Q65" i="8"/>
  <c r="R67" i="8"/>
  <c r="E69" i="8"/>
  <c r="W64" i="8"/>
  <c r="W62" i="8" s="1"/>
  <c r="AB64" i="8"/>
  <c r="AB62" i="8" s="1"/>
  <c r="F65" i="8"/>
  <c r="G65" i="8"/>
  <c r="I66" i="8" s="1"/>
  <c r="G66" i="8"/>
  <c r="F66" i="8"/>
  <c r="Y64" i="8"/>
  <c r="Y62" i="8" s="1"/>
  <c r="AD64" i="8"/>
  <c r="AD62" i="8" s="1"/>
  <c r="AA64" i="8"/>
  <c r="AA62" i="8" s="1"/>
  <c r="E67" i="8" l="1"/>
  <c r="B65" i="8"/>
  <c r="C65" i="8"/>
  <c r="N68" i="8"/>
  <c r="R68" i="8"/>
  <c r="D67" i="8" s="1"/>
  <c r="D65" i="8" s="1"/>
  <c r="L68" i="8"/>
  <c r="P68" i="8"/>
  <c r="I68" i="8"/>
  <c r="O68" i="8"/>
  <c r="M68" i="8"/>
  <c r="H68" i="8"/>
  <c r="AB67" i="8" l="1"/>
  <c r="AB65" i="8" s="1"/>
  <c r="F68" i="8"/>
  <c r="AE67" i="8"/>
  <c r="AE65" i="8" s="1"/>
  <c r="T67" i="8"/>
  <c r="T65" i="8" s="1"/>
  <c r="X67" i="8"/>
  <c r="X65" i="8" s="1"/>
  <c r="Q68" i="8"/>
  <c r="R70" i="8"/>
  <c r="E72" i="8"/>
  <c r="AD67" i="8"/>
  <c r="AD65" i="8" s="1"/>
  <c r="AC67" i="8"/>
  <c r="AC65" i="8" s="1"/>
  <c r="F69" i="8"/>
  <c r="G69" i="8"/>
  <c r="G68" i="8"/>
  <c r="I69" i="8" s="1"/>
  <c r="W67" i="8"/>
  <c r="W65" i="8" s="1"/>
  <c r="V67" i="8"/>
  <c r="V65" i="8" s="1"/>
  <c r="Y67" i="8"/>
  <c r="Y65" i="8" s="1"/>
  <c r="Z67" i="8"/>
  <c r="Z65" i="8" s="1"/>
  <c r="U67" i="8"/>
  <c r="U65" i="8" s="1"/>
  <c r="AA67" i="8"/>
  <c r="AA65" i="8" s="1"/>
  <c r="B68" i="8" l="1"/>
  <c r="C68" i="8"/>
  <c r="E70" i="8"/>
  <c r="R71" i="8"/>
  <c r="U70" i="8" s="1"/>
  <c r="U68" i="8" s="1"/>
  <c r="M71" i="8"/>
  <c r="H71" i="8"/>
  <c r="I71" i="8"/>
  <c r="N71" i="8"/>
  <c r="O71" i="8"/>
  <c r="L71" i="8"/>
  <c r="P71" i="8"/>
  <c r="AB70" i="8" l="1"/>
  <c r="AB68" i="8" s="1"/>
  <c r="F71" i="8"/>
  <c r="X70" i="8"/>
  <c r="X68" i="8" s="1"/>
  <c r="AE70" i="8"/>
  <c r="AE68" i="8" s="1"/>
  <c r="AD70" i="8"/>
  <c r="AD68" i="8" s="1"/>
  <c r="AA70" i="8"/>
  <c r="AA68" i="8" s="1"/>
  <c r="W70" i="8"/>
  <c r="W68" i="8" s="1"/>
  <c r="Z70" i="8"/>
  <c r="Z68" i="8" s="1"/>
  <c r="R73" i="8"/>
  <c r="Q71" i="8"/>
  <c r="E75" i="8"/>
  <c r="V70" i="8"/>
  <c r="V68" i="8" s="1"/>
  <c r="AC70" i="8"/>
  <c r="AC68" i="8" s="1"/>
  <c r="F72" i="8"/>
  <c r="G72" i="8"/>
  <c r="G71" i="8"/>
  <c r="I72" i="8" s="1"/>
  <c r="T70" i="8"/>
  <c r="T68" i="8" s="1"/>
  <c r="D70" i="8"/>
  <c r="D68" i="8" s="1"/>
  <c r="Y70" i="8"/>
  <c r="Y68" i="8" s="1"/>
  <c r="C71" i="8" l="1"/>
  <c r="B71" i="8"/>
  <c r="E73" i="8"/>
  <c r="M74" i="8"/>
  <c r="H74" i="8"/>
  <c r="N74" i="8"/>
  <c r="L74" i="8"/>
  <c r="P74" i="8"/>
  <c r="I74" i="8"/>
  <c r="O74" i="8"/>
  <c r="R74" i="8"/>
  <c r="F75" i="8" l="1"/>
  <c r="G75" i="8"/>
  <c r="G74" i="8"/>
  <c r="I75" i="8" s="1"/>
  <c r="R76" i="8"/>
  <c r="Q74" i="8"/>
  <c r="E78" i="8"/>
  <c r="AE73" i="8"/>
  <c r="AE71" i="8" s="1"/>
  <c r="AB73" i="8"/>
  <c r="AB71" i="8" s="1"/>
  <c r="AD73" i="8"/>
  <c r="AD71" i="8" s="1"/>
  <c r="X73" i="8"/>
  <c r="X71" i="8" s="1"/>
  <c r="V73" i="8"/>
  <c r="V71" i="8" s="1"/>
  <c r="U73" i="8"/>
  <c r="U71" i="8" s="1"/>
  <c r="D73" i="8"/>
  <c r="D71" i="8" s="1"/>
  <c r="Y73" i="8"/>
  <c r="Y71" i="8" s="1"/>
  <c r="AC73" i="8"/>
  <c r="AC71" i="8" s="1"/>
  <c r="Z73" i="8"/>
  <c r="Z71" i="8" s="1"/>
  <c r="F74" i="8"/>
  <c r="W73" i="8"/>
  <c r="W71" i="8" s="1"/>
  <c r="T73" i="8"/>
  <c r="T71" i="8" s="1"/>
  <c r="AA73" i="8"/>
  <c r="AA71" i="8" s="1"/>
  <c r="P77" i="8" l="1"/>
  <c r="M77" i="8"/>
  <c r="R77" i="8"/>
  <c r="Z76" i="8" s="1"/>
  <c r="Z74" i="8" s="1"/>
  <c r="H77" i="8"/>
  <c r="L77" i="8"/>
  <c r="I77" i="8"/>
  <c r="O77" i="8"/>
  <c r="N77" i="8"/>
  <c r="C74" i="8"/>
  <c r="E76" i="8"/>
  <c r="B74" i="8"/>
  <c r="Y76" i="8"/>
  <c r="Y74" i="8" s="1"/>
  <c r="AD76" i="8" l="1"/>
  <c r="AD74" i="8" s="1"/>
  <c r="AC76" i="8"/>
  <c r="AC74" i="8" s="1"/>
  <c r="U76" i="8"/>
  <c r="U74" i="8" s="1"/>
  <c r="D76" i="8"/>
  <c r="D74" i="8" s="1"/>
  <c r="AB76" i="8"/>
  <c r="AB74" i="8" s="1"/>
  <c r="V76" i="8"/>
  <c r="V74" i="8" s="1"/>
  <c r="W76" i="8"/>
  <c r="W74" i="8" s="1"/>
  <c r="T76" i="8"/>
  <c r="T74" i="8" s="1"/>
  <c r="AA76" i="8"/>
  <c r="AA74" i="8" s="1"/>
  <c r="AE76" i="8"/>
  <c r="AE74" i="8" s="1"/>
  <c r="X76" i="8"/>
  <c r="X74" i="8" s="1"/>
  <c r="F77" i="8"/>
  <c r="G77" i="8"/>
  <c r="I78" i="8" s="1"/>
  <c r="G78" i="8"/>
  <c r="F78" i="8"/>
  <c r="Q77" i="8"/>
  <c r="R79" i="8"/>
  <c r="E81" i="8"/>
  <c r="R80" i="8" l="1"/>
  <c r="F81" i="8" s="1"/>
  <c r="P80" i="8"/>
  <c r="I80" i="8"/>
  <c r="M80" i="8"/>
  <c r="L80" i="8"/>
  <c r="N80" i="8"/>
  <c r="O80" i="8"/>
  <c r="H80" i="8"/>
  <c r="E79" i="8"/>
  <c r="C77" i="8"/>
  <c r="B77" i="8"/>
  <c r="U79" i="8" l="1"/>
  <c r="U77" i="8" s="1"/>
  <c r="X79" i="8"/>
  <c r="X77" i="8" s="1"/>
  <c r="Y79" i="8"/>
  <c r="Y77" i="8" s="1"/>
  <c r="W79" i="8"/>
  <c r="W77" i="8" s="1"/>
  <c r="T79" i="8"/>
  <c r="T77" i="8" s="1"/>
  <c r="AD79" i="8"/>
  <c r="AD77" i="8" s="1"/>
  <c r="F80" i="8"/>
  <c r="AA79" i="8"/>
  <c r="AA77" i="8" s="1"/>
  <c r="AE79" i="8"/>
  <c r="AE77" i="8" s="1"/>
  <c r="D79" i="8"/>
  <c r="D77" i="8" s="1"/>
  <c r="Z79" i="8"/>
  <c r="Z77" i="8" s="1"/>
  <c r="AC79" i="8"/>
  <c r="AC77" i="8" s="1"/>
  <c r="V79" i="8"/>
  <c r="V77" i="8" s="1"/>
  <c r="Q80" i="8"/>
  <c r="R82" i="8"/>
  <c r="E84" i="8"/>
  <c r="AB79" i="8"/>
  <c r="AB77" i="8" s="1"/>
  <c r="G80" i="8"/>
  <c r="I81" i="8" s="1"/>
  <c r="G81" i="8"/>
  <c r="H83" i="8" l="1"/>
  <c r="P83" i="8"/>
  <c r="N83" i="8"/>
  <c r="O83" i="8"/>
  <c r="L83" i="8"/>
  <c r="I83" i="8"/>
  <c r="R83" i="8"/>
  <c r="Z82" i="8" s="1"/>
  <c r="Z80" i="8" s="1"/>
  <c r="M83" i="8"/>
  <c r="E82" i="8"/>
  <c r="B80" i="8"/>
  <c r="C80" i="8"/>
  <c r="AD82" i="8"/>
  <c r="AD80" i="8" s="1"/>
  <c r="X82" i="8" l="1"/>
  <c r="X80" i="8" s="1"/>
  <c r="U82" i="8"/>
  <c r="U80" i="8" s="1"/>
  <c r="V82" i="8"/>
  <c r="V80" i="8" s="1"/>
  <c r="T82" i="8"/>
  <c r="T80" i="8" s="1"/>
  <c r="D82" i="8"/>
  <c r="D80" i="8" s="1"/>
  <c r="Y82" i="8"/>
  <c r="Y80" i="8" s="1"/>
  <c r="AE82" i="8"/>
  <c r="AE80" i="8" s="1"/>
  <c r="AC82" i="8"/>
  <c r="AC80" i="8" s="1"/>
  <c r="W82" i="8"/>
  <c r="W80" i="8" s="1"/>
  <c r="AB82" i="8"/>
  <c r="AB80" i="8" s="1"/>
  <c r="AA82" i="8"/>
  <c r="AA80" i="8" s="1"/>
  <c r="G83" i="8"/>
  <c r="I84" i="8" s="1"/>
  <c r="G84" i="8"/>
  <c r="F84" i="8"/>
  <c r="F83" i="8"/>
  <c r="R85" i="8"/>
  <c r="Q83" i="8"/>
  <c r="E87" i="8"/>
  <c r="B83" i="8" l="1"/>
  <c r="C83" i="8"/>
  <c r="E85" i="8"/>
  <c r="R86" i="8"/>
  <c r="F86" i="8" s="1"/>
  <c r="H86" i="8"/>
  <c r="L86" i="8"/>
  <c r="O86" i="8"/>
  <c r="P86" i="8"/>
  <c r="M86" i="8"/>
  <c r="I86" i="8"/>
  <c r="N86" i="8"/>
  <c r="Y85" i="8" l="1"/>
  <c r="Y83" i="8" s="1"/>
  <c r="F87" i="8"/>
  <c r="W85" i="8"/>
  <c r="W83" i="8" s="1"/>
  <c r="G87" i="8"/>
  <c r="G86" i="8"/>
  <c r="I87" i="8" s="1"/>
  <c r="AE85" i="8"/>
  <c r="AE83" i="8" s="1"/>
  <c r="AB85" i="8"/>
  <c r="AB83" i="8" s="1"/>
  <c r="T85" i="8"/>
  <c r="T83" i="8" s="1"/>
  <c r="Z85" i="8"/>
  <c r="Z83" i="8" s="1"/>
  <c r="AD85" i="8"/>
  <c r="AD83" i="8" s="1"/>
  <c r="R88" i="8"/>
  <c r="Q86" i="8"/>
  <c r="E90" i="8"/>
  <c r="U85" i="8"/>
  <c r="U83" i="8" s="1"/>
  <c r="X85" i="8"/>
  <c r="X83" i="8" s="1"/>
  <c r="V85" i="8"/>
  <c r="V83" i="8" s="1"/>
  <c r="AC85" i="8"/>
  <c r="AC83" i="8" s="1"/>
  <c r="AA85" i="8"/>
  <c r="AA83" i="8" s="1"/>
  <c r="D85" i="8"/>
  <c r="D83" i="8" s="1"/>
  <c r="L89" i="8" l="1"/>
  <c r="H89" i="8"/>
  <c r="I89" i="8"/>
  <c r="N89" i="8"/>
  <c r="O89" i="8"/>
  <c r="R89" i="8"/>
  <c r="F90" i="8" s="1"/>
  <c r="P89" i="8"/>
  <c r="M89" i="8"/>
  <c r="E88" i="8"/>
  <c r="V88" i="8"/>
  <c r="V86" i="8" s="1"/>
  <c r="C86" i="8"/>
  <c r="B86" i="8"/>
  <c r="U88" i="8" l="1"/>
  <c r="U86" i="8" s="1"/>
  <c r="W88" i="8"/>
  <c r="W86" i="8" s="1"/>
  <c r="AE88" i="8"/>
  <c r="AE86" i="8" s="1"/>
  <c r="AD88" i="8"/>
  <c r="AD86" i="8" s="1"/>
  <c r="AA88" i="8"/>
  <c r="AA86" i="8" s="1"/>
  <c r="T88" i="8"/>
  <c r="T86" i="8" s="1"/>
  <c r="Y88" i="8"/>
  <c r="Y86" i="8" s="1"/>
  <c r="AC88" i="8"/>
  <c r="AC86" i="8" s="1"/>
  <c r="D88" i="8"/>
  <c r="D86" i="8" s="1"/>
  <c r="Z88" i="8"/>
  <c r="Z86" i="8" s="1"/>
  <c r="AB88" i="8"/>
  <c r="AB86" i="8" s="1"/>
  <c r="X88" i="8"/>
  <c r="X86" i="8" s="1"/>
  <c r="G90" i="8"/>
  <c r="G89" i="8"/>
  <c r="I90" i="8" s="1"/>
  <c r="F89" i="8"/>
  <c r="R91" i="8"/>
  <c r="Q89" i="8"/>
  <c r="E93" i="8"/>
  <c r="I92" i="8" l="1"/>
  <c r="L92" i="8"/>
  <c r="M92" i="8"/>
  <c r="O92" i="8"/>
  <c r="P92" i="8"/>
  <c r="H92" i="8"/>
  <c r="R92" i="8"/>
  <c r="Z91" i="8" s="1"/>
  <c r="Z89" i="8" s="1"/>
  <c r="N92" i="8"/>
  <c r="B89" i="8"/>
  <c r="C89" i="8"/>
  <c r="E91" i="8"/>
  <c r="V91" i="8"/>
  <c r="V89" i="8" s="1"/>
  <c r="AB91" i="8" l="1"/>
  <c r="AB89" i="8" s="1"/>
  <c r="Y91" i="8"/>
  <c r="Y89" i="8" s="1"/>
  <c r="D91" i="8"/>
  <c r="D89" i="8" s="1"/>
  <c r="X91" i="8"/>
  <c r="X89" i="8" s="1"/>
  <c r="AA91" i="8"/>
  <c r="AA89" i="8" s="1"/>
  <c r="AE91" i="8"/>
  <c r="AE89" i="8" s="1"/>
  <c r="AC91" i="8"/>
  <c r="AC89" i="8" s="1"/>
  <c r="T91" i="8"/>
  <c r="T89" i="8" s="1"/>
  <c r="AD91" i="8"/>
  <c r="AD89" i="8" s="1"/>
  <c r="U91" i="8"/>
  <c r="U89" i="8" s="1"/>
  <c r="W91" i="8"/>
  <c r="W89" i="8" s="1"/>
  <c r="G93" i="8"/>
  <c r="G92" i="8"/>
  <c r="I93" i="8" s="1"/>
  <c r="F93" i="8"/>
  <c r="R94" i="8"/>
  <c r="Q92" i="8"/>
  <c r="E96" i="8"/>
  <c r="F92" i="8"/>
  <c r="I95" i="8" l="1"/>
  <c r="R95" i="8"/>
  <c r="F95" i="8" s="1"/>
  <c r="L95" i="8"/>
  <c r="N95" i="8"/>
  <c r="M95" i="8"/>
  <c r="P95" i="8"/>
  <c r="H95" i="8"/>
  <c r="O95" i="8"/>
  <c r="C92" i="8"/>
  <c r="E94" i="8"/>
  <c r="B92" i="8"/>
  <c r="D94" i="8"/>
  <c r="D92" i="8" s="1"/>
  <c r="AC94" i="8"/>
  <c r="AC92" i="8" s="1"/>
  <c r="AD94" i="8"/>
  <c r="AD92" i="8" s="1"/>
  <c r="AE94" i="8"/>
  <c r="AE92" i="8" s="1"/>
  <c r="U94" i="8"/>
  <c r="U92" i="8" s="1"/>
  <c r="X94" i="8"/>
  <c r="X92" i="8" s="1"/>
  <c r="T94" i="8"/>
  <c r="T92" i="8" s="1"/>
  <c r="W94" i="8" l="1"/>
  <c r="W92" i="8" s="1"/>
  <c r="Y94" i="8"/>
  <c r="Y92" i="8" s="1"/>
  <c r="AB94" i="8"/>
  <c r="AB92" i="8" s="1"/>
  <c r="V94" i="8"/>
  <c r="V92" i="8" s="1"/>
  <c r="Z94" i="8"/>
  <c r="Z92" i="8" s="1"/>
  <c r="F96" i="8"/>
  <c r="Q95" i="8"/>
  <c r="R97" i="8"/>
  <c r="E99" i="8"/>
  <c r="AA94" i="8"/>
  <c r="AA92" i="8" s="1"/>
  <c r="G95" i="8"/>
  <c r="I96" i="8" s="1"/>
  <c r="G96" i="8"/>
  <c r="M98" i="8" l="1"/>
  <c r="I98" i="8"/>
  <c r="N98" i="8"/>
  <c r="O98" i="8"/>
  <c r="L98" i="8"/>
  <c r="P98" i="8"/>
  <c r="R98" i="8"/>
  <c r="AE97" i="8" s="1"/>
  <c r="AE95" i="8" s="1"/>
  <c r="H98" i="8"/>
  <c r="C95" i="8"/>
  <c r="B95" i="8"/>
  <c r="U97" i="8"/>
  <c r="U95" i="8" s="1"/>
  <c r="E97" i="8"/>
  <c r="X97" i="8" l="1"/>
  <c r="X95" i="8" s="1"/>
  <c r="V97" i="8"/>
  <c r="V95" i="8" s="1"/>
  <c r="Y97" i="8"/>
  <c r="Y95" i="8" s="1"/>
  <c r="D97" i="8"/>
  <c r="D95" i="8" s="1"/>
  <c r="T97" i="8"/>
  <c r="T95" i="8" s="1"/>
  <c r="AD97" i="8"/>
  <c r="AD95" i="8" s="1"/>
  <c r="W97" i="8"/>
  <c r="W95" i="8" s="1"/>
  <c r="AC97" i="8"/>
  <c r="AC95" i="8" s="1"/>
  <c r="Z97" i="8"/>
  <c r="Z95" i="8" s="1"/>
  <c r="AA97" i="8"/>
  <c r="AA95" i="8" s="1"/>
  <c r="AB97" i="8"/>
  <c r="AB95" i="8" s="1"/>
  <c r="G98" i="8"/>
  <c r="I99" i="8" s="1"/>
  <c r="G99" i="8"/>
  <c r="F99" i="8"/>
  <c r="F98" i="8"/>
  <c r="R100" i="8"/>
  <c r="Q98" i="8"/>
  <c r="E102" i="8"/>
  <c r="M101" i="8" l="1"/>
  <c r="N101" i="8"/>
  <c r="P101" i="8"/>
  <c r="O101" i="8"/>
  <c r="H101" i="8"/>
  <c r="L101" i="8"/>
  <c r="I101" i="8"/>
  <c r="R101" i="8"/>
  <c r="AB100" i="8" s="1"/>
  <c r="AB98" i="8" s="1"/>
  <c r="C98" i="8"/>
  <c r="E100" i="8"/>
  <c r="B98" i="8"/>
  <c r="AD100" i="8"/>
  <c r="AD98" i="8" s="1"/>
  <c r="Z100" i="8" l="1"/>
  <c r="Z98" i="8" s="1"/>
  <c r="AA100" i="8"/>
  <c r="AA98" i="8" s="1"/>
  <c r="AC100" i="8"/>
  <c r="AC98" i="8" s="1"/>
  <c r="V100" i="8"/>
  <c r="V98" i="8" s="1"/>
  <c r="U100" i="8"/>
  <c r="U98" i="8" s="1"/>
  <c r="T100" i="8"/>
  <c r="T98" i="8" s="1"/>
  <c r="AE100" i="8"/>
  <c r="AE98" i="8" s="1"/>
  <c r="D100" i="8"/>
  <c r="D98" i="8" s="1"/>
  <c r="W100" i="8"/>
  <c r="W98" i="8" s="1"/>
  <c r="Y100" i="8"/>
  <c r="Y98" i="8" s="1"/>
  <c r="X100" i="8"/>
  <c r="X98" i="8" s="1"/>
  <c r="G102" i="8"/>
  <c r="G101" i="8"/>
  <c r="I102" i="8" s="1"/>
  <c r="F101" i="8"/>
  <c r="Q101" i="8"/>
  <c r="R103" i="8"/>
  <c r="E105" i="8"/>
  <c r="F102" i="8"/>
  <c r="L104" i="8" l="1"/>
  <c r="P104" i="8"/>
  <c r="I104" i="8"/>
  <c r="O104" i="8"/>
  <c r="N104" i="8"/>
  <c r="R104" i="8"/>
  <c r="AC103" i="8" s="1"/>
  <c r="AC101" i="8" s="1"/>
  <c r="H104" i="8"/>
  <c r="M104" i="8"/>
  <c r="E103" i="8"/>
  <c r="B101" i="8"/>
  <c r="C101" i="8"/>
  <c r="AA103" i="8"/>
  <c r="AA101" i="8" s="1"/>
  <c r="AE103" i="8" l="1"/>
  <c r="AE101" i="8" s="1"/>
  <c r="V103" i="8"/>
  <c r="V101" i="8" s="1"/>
  <c r="D103" i="8"/>
  <c r="D101" i="8" s="1"/>
  <c r="T103" i="8"/>
  <c r="T101" i="8" s="1"/>
  <c r="Z103" i="8"/>
  <c r="Z101" i="8" s="1"/>
  <c r="AB103" i="8"/>
  <c r="AB101" i="8" s="1"/>
  <c r="X103" i="8"/>
  <c r="X101" i="8" s="1"/>
  <c r="AD103" i="8"/>
  <c r="AD101" i="8" s="1"/>
  <c r="U103" i="8"/>
  <c r="U101" i="8" s="1"/>
  <c r="W103" i="8"/>
  <c r="W101" i="8" s="1"/>
  <c r="Y103" i="8"/>
  <c r="Y101" i="8" s="1"/>
  <c r="F105" i="8"/>
  <c r="G105" i="8"/>
  <c r="G104" i="8"/>
  <c r="I105" i="8" s="1"/>
  <c r="F104" i="8"/>
  <c r="Q104" i="8"/>
  <c r="R106" i="8"/>
  <c r="E108" i="8"/>
  <c r="M107" i="8" l="1"/>
  <c r="N107" i="8"/>
  <c r="L107" i="8"/>
  <c r="R107" i="8"/>
  <c r="AD106" i="8" s="1"/>
  <c r="AD104" i="8" s="1"/>
  <c r="H107" i="8"/>
  <c r="I107" i="8"/>
  <c r="O107" i="8"/>
  <c r="P107" i="8"/>
  <c r="B104" i="8"/>
  <c r="E106" i="8"/>
  <c r="C104" i="8"/>
  <c r="U106" i="8"/>
  <c r="U104" i="8" s="1"/>
  <c r="AA106" i="8" l="1"/>
  <c r="AA104" i="8" s="1"/>
  <c r="AB106" i="8"/>
  <c r="AB104" i="8" s="1"/>
  <c r="D106" i="8"/>
  <c r="D104" i="8" s="1"/>
  <c r="AE106" i="8"/>
  <c r="AE104" i="8" s="1"/>
  <c r="V106" i="8"/>
  <c r="V104" i="8" s="1"/>
  <c r="Y106" i="8"/>
  <c r="Y104" i="8" s="1"/>
  <c r="T106" i="8"/>
  <c r="T104" i="8" s="1"/>
  <c r="AC106" i="8"/>
  <c r="AC104" i="8" s="1"/>
  <c r="W106" i="8"/>
  <c r="W104" i="8" s="1"/>
  <c r="Z106" i="8"/>
  <c r="Z104" i="8" s="1"/>
  <c r="X106" i="8"/>
  <c r="X104" i="8" s="1"/>
  <c r="G107" i="8"/>
  <c r="I108" i="8" s="1"/>
  <c r="G108" i="8"/>
  <c r="R109" i="8"/>
  <c r="Q107" i="8"/>
  <c r="E111" i="8"/>
  <c r="F108" i="8"/>
  <c r="F107" i="8"/>
  <c r="E109" i="8" l="1"/>
  <c r="B107" i="8"/>
  <c r="C107" i="8"/>
  <c r="P110" i="8"/>
  <c r="H110" i="8"/>
  <c r="N110" i="8"/>
  <c r="I110" i="8"/>
  <c r="R110" i="8"/>
  <c r="AA109" i="8" s="1"/>
  <c r="AA107" i="8" s="1"/>
  <c r="L110" i="8"/>
  <c r="O110" i="8"/>
  <c r="M110" i="8"/>
  <c r="AD109" i="8" l="1"/>
  <c r="AD107" i="8" s="1"/>
  <c r="F110" i="8"/>
  <c r="AE109" i="8"/>
  <c r="AE107" i="8" s="1"/>
  <c r="AB109" i="8"/>
  <c r="AB107" i="8" s="1"/>
  <c r="V109" i="8"/>
  <c r="V107" i="8" s="1"/>
  <c r="Z109" i="8"/>
  <c r="Z107" i="8" s="1"/>
  <c r="X109" i="8"/>
  <c r="X107" i="8" s="1"/>
  <c r="AC109" i="8"/>
  <c r="AC107" i="8" s="1"/>
  <c r="R112" i="8"/>
  <c r="Q110" i="8"/>
  <c r="E114" i="8"/>
  <c r="D109" i="8"/>
  <c r="D107" i="8" s="1"/>
  <c r="T109" i="8"/>
  <c r="T107" i="8" s="1"/>
  <c r="F111" i="8"/>
  <c r="G111" i="8"/>
  <c r="G110" i="8"/>
  <c r="I111" i="8" s="1"/>
  <c r="U109" i="8"/>
  <c r="U107" i="8" s="1"/>
  <c r="W109" i="8"/>
  <c r="W107" i="8" s="1"/>
  <c r="Y109" i="8"/>
  <c r="Y107" i="8" s="1"/>
  <c r="B110" i="8" l="1"/>
  <c r="C110" i="8"/>
  <c r="E112" i="8"/>
  <c r="N113" i="8"/>
  <c r="I113" i="8"/>
  <c r="L113" i="8"/>
  <c r="P113" i="8"/>
  <c r="O113" i="8"/>
  <c r="R113" i="8"/>
  <c r="Z112" i="8" s="1"/>
  <c r="Z110" i="8" s="1"/>
  <c r="H113" i="8"/>
  <c r="M113" i="8"/>
  <c r="AA112" i="8" l="1"/>
  <c r="AA110" i="8" s="1"/>
  <c r="F113" i="8"/>
  <c r="F114" i="8"/>
  <c r="AB112" i="8"/>
  <c r="AB110" i="8" s="1"/>
  <c r="AD112" i="8"/>
  <c r="AD110" i="8" s="1"/>
  <c r="T112" i="8"/>
  <c r="T110" i="8" s="1"/>
  <c r="AC112" i="8"/>
  <c r="AC110" i="8" s="1"/>
  <c r="W112" i="8"/>
  <c r="W110" i="8" s="1"/>
  <c r="R115" i="8"/>
  <c r="Q113" i="8"/>
  <c r="E117" i="8"/>
  <c r="X112" i="8"/>
  <c r="X110" i="8" s="1"/>
  <c r="Y112" i="8"/>
  <c r="Y110" i="8" s="1"/>
  <c r="U112" i="8"/>
  <c r="U110" i="8" s="1"/>
  <c r="G113" i="8"/>
  <c r="I114" i="8" s="1"/>
  <c r="G114" i="8"/>
  <c r="AE112" i="8"/>
  <c r="AE110" i="8" s="1"/>
  <c r="D112" i="8"/>
  <c r="D110" i="8" s="1"/>
  <c r="V112" i="8"/>
  <c r="V110" i="8" s="1"/>
  <c r="E115" i="8" l="1"/>
  <c r="B113" i="8"/>
  <c r="C113" i="8"/>
  <c r="R116" i="8"/>
  <c r="V115" i="8" s="1"/>
  <c r="V113" i="8" s="1"/>
  <c r="I116" i="8"/>
  <c r="M116" i="8"/>
  <c r="H116" i="8"/>
  <c r="L116" i="8"/>
  <c r="O116" i="8"/>
  <c r="P116" i="8"/>
  <c r="N116" i="8"/>
  <c r="AE115" i="8" l="1"/>
  <c r="AE113" i="8" s="1"/>
  <c r="F116" i="8"/>
  <c r="D115" i="8"/>
  <c r="D113" i="8" s="1"/>
  <c r="AA115" i="8"/>
  <c r="AA113" i="8" s="1"/>
  <c r="AC115" i="8"/>
  <c r="AC113" i="8" s="1"/>
  <c r="T115" i="8"/>
  <c r="T113" i="8" s="1"/>
  <c r="Y115" i="8"/>
  <c r="Y113" i="8" s="1"/>
  <c r="X115" i="8"/>
  <c r="X113" i="8" s="1"/>
  <c r="F117" i="8"/>
  <c r="Z115" i="8"/>
  <c r="Z113" i="8" s="1"/>
  <c r="U115" i="8"/>
  <c r="U113" i="8" s="1"/>
  <c r="R118" i="8"/>
  <c r="Q116" i="8"/>
  <c r="E120" i="8"/>
  <c r="G117" i="8"/>
  <c r="G116" i="8"/>
  <c r="I117" i="8" s="1"/>
  <c r="AD115" i="8"/>
  <c r="AD113" i="8" s="1"/>
  <c r="W115" i="8"/>
  <c r="W113" i="8" s="1"/>
  <c r="AB115" i="8"/>
  <c r="AB113" i="8" s="1"/>
  <c r="O119" i="8" l="1"/>
  <c r="L119" i="8"/>
  <c r="H119" i="8"/>
  <c r="I119" i="8"/>
  <c r="N119" i="8"/>
  <c r="P119" i="8"/>
  <c r="R119" i="8"/>
  <c r="AB118" i="8" s="1"/>
  <c r="AB116" i="8" s="1"/>
  <c r="M119" i="8"/>
  <c r="C116" i="8"/>
  <c r="B116" i="8"/>
  <c r="E118" i="8"/>
  <c r="Z118" i="8"/>
  <c r="Z116" i="8" s="1"/>
  <c r="AE118" i="8" l="1"/>
  <c r="AE116" i="8" s="1"/>
  <c r="AD118" i="8"/>
  <c r="AD116" i="8" s="1"/>
  <c r="U118" i="8"/>
  <c r="U116" i="8" s="1"/>
  <c r="D118" i="8"/>
  <c r="D116" i="8" s="1"/>
  <c r="X118" i="8"/>
  <c r="X116" i="8" s="1"/>
  <c r="AA118" i="8"/>
  <c r="AA116" i="8" s="1"/>
  <c r="V118" i="8"/>
  <c r="V116" i="8" s="1"/>
  <c r="T118" i="8"/>
  <c r="T116" i="8" s="1"/>
  <c r="AC118" i="8"/>
  <c r="AC116" i="8" s="1"/>
  <c r="W118" i="8"/>
  <c r="W116" i="8" s="1"/>
  <c r="Y118" i="8"/>
  <c r="Y116" i="8" s="1"/>
  <c r="F119" i="8"/>
  <c r="G119" i="8"/>
  <c r="I120" i="8" s="1"/>
  <c r="G120" i="8"/>
  <c r="Q119" i="8"/>
  <c r="R121" i="8"/>
  <c r="E123" i="8"/>
  <c r="F120" i="8"/>
  <c r="E121" i="8" l="1"/>
  <c r="C119" i="8"/>
  <c r="B119" i="8"/>
  <c r="N122" i="8"/>
  <c r="I122" i="8"/>
  <c r="R122" i="8"/>
  <c r="AA121" i="8" s="1"/>
  <c r="AA119" i="8" s="1"/>
  <c r="M122" i="8"/>
  <c r="L122" i="8"/>
  <c r="P122" i="8"/>
  <c r="O122" i="8"/>
  <c r="H122" i="8"/>
  <c r="D121" i="8" l="1"/>
  <c r="D119" i="8" s="1"/>
  <c r="T121" i="8"/>
  <c r="T119" i="8" s="1"/>
  <c r="Z121" i="8"/>
  <c r="Z119" i="8" s="1"/>
  <c r="F122" i="8"/>
  <c r="G123" i="8"/>
  <c r="G122" i="8"/>
  <c r="I123" i="8" s="1"/>
  <c r="AC121" i="8"/>
  <c r="AC119" i="8" s="1"/>
  <c r="U121" i="8"/>
  <c r="U119" i="8" s="1"/>
  <c r="V121" i="8"/>
  <c r="V119" i="8" s="1"/>
  <c r="AD121" i="8"/>
  <c r="AD119" i="8" s="1"/>
  <c r="W121" i="8"/>
  <c r="W119" i="8" s="1"/>
  <c r="AE121" i="8"/>
  <c r="AE119" i="8" s="1"/>
  <c r="F123" i="8"/>
  <c r="Q122" i="8"/>
  <c r="R124" i="8"/>
  <c r="E126" i="8"/>
  <c r="X121" i="8"/>
  <c r="X119" i="8" s="1"/>
  <c r="Y121" i="8"/>
  <c r="Y119" i="8" s="1"/>
  <c r="AB121" i="8"/>
  <c r="AB119" i="8" s="1"/>
  <c r="H125" i="8" l="1"/>
  <c r="P125" i="8"/>
  <c r="O125" i="8"/>
  <c r="R125" i="8"/>
  <c r="D124" i="8" s="1"/>
  <c r="D122" i="8" s="1"/>
  <c r="L125" i="8"/>
  <c r="I125" i="8"/>
  <c r="M125" i="8"/>
  <c r="N125" i="8"/>
  <c r="B122" i="8"/>
  <c r="C122" i="8"/>
  <c r="E124" i="8"/>
  <c r="W124" i="8"/>
  <c r="W122" i="8" s="1"/>
  <c r="AE124" i="8" l="1"/>
  <c r="AE122" i="8" s="1"/>
  <c r="Z124" i="8"/>
  <c r="Z122" i="8" s="1"/>
  <c r="AC124" i="8"/>
  <c r="AC122" i="8" s="1"/>
  <c r="U124" i="8"/>
  <c r="U122" i="8" s="1"/>
  <c r="X124" i="8"/>
  <c r="X122" i="8" s="1"/>
  <c r="AD124" i="8"/>
  <c r="AD122" i="8" s="1"/>
  <c r="V124" i="8"/>
  <c r="V122" i="8" s="1"/>
  <c r="AA124" i="8"/>
  <c r="AA122" i="8" s="1"/>
  <c r="T124" i="8"/>
  <c r="T122" i="8" s="1"/>
  <c r="AB124" i="8"/>
  <c r="AB122" i="8" s="1"/>
  <c r="Y124" i="8"/>
  <c r="Y122" i="8" s="1"/>
  <c r="F125" i="8"/>
  <c r="G126" i="8"/>
  <c r="G125" i="8"/>
  <c r="I126" i="8" s="1"/>
  <c r="F126" i="8"/>
  <c r="R127" i="8"/>
  <c r="Q125" i="8"/>
  <c r="E129" i="8"/>
  <c r="L128" i="8" l="1"/>
  <c r="I128" i="8"/>
  <c r="R128" i="8"/>
  <c r="X127" i="8" s="1"/>
  <c r="X125" i="8" s="1"/>
  <c r="M128" i="8"/>
  <c r="N128" i="8"/>
  <c r="O128" i="8"/>
  <c r="P128" i="8"/>
  <c r="H128" i="8"/>
  <c r="B125" i="8"/>
  <c r="E127" i="8"/>
  <c r="C125" i="8"/>
  <c r="Y127" i="8"/>
  <c r="Y125" i="8" s="1"/>
  <c r="AE127" i="8" l="1"/>
  <c r="AE125" i="8" s="1"/>
  <c r="AD127" i="8"/>
  <c r="AD125" i="8" s="1"/>
  <c r="AA127" i="8"/>
  <c r="AA125" i="8" s="1"/>
  <c r="AC127" i="8"/>
  <c r="AC125" i="8" s="1"/>
  <c r="D127" i="8"/>
  <c r="D125" i="8" s="1"/>
  <c r="AB127" i="8"/>
  <c r="AB125" i="8" s="1"/>
  <c r="Z127" i="8"/>
  <c r="Z125" i="8" s="1"/>
  <c r="U127" i="8"/>
  <c r="U125" i="8" s="1"/>
  <c r="T127" i="8"/>
  <c r="T125" i="8" s="1"/>
  <c r="V127" i="8"/>
  <c r="V125" i="8" s="1"/>
  <c r="W127" i="8"/>
  <c r="W125" i="8" s="1"/>
  <c r="G128" i="8"/>
  <c r="I129" i="8" s="1"/>
  <c r="G129" i="8"/>
  <c r="F128" i="8"/>
  <c r="F129" i="8"/>
  <c r="Q128" i="8"/>
  <c r="R130" i="8"/>
  <c r="E132" i="8"/>
  <c r="N131" i="8" l="1"/>
  <c r="I131" i="8"/>
  <c r="M131" i="8"/>
  <c r="P131" i="8"/>
  <c r="L131" i="8"/>
  <c r="R131" i="8"/>
  <c r="F132" i="8" s="1"/>
  <c r="O131" i="8"/>
  <c r="H131" i="8"/>
  <c r="C128" i="8"/>
  <c r="B128" i="8"/>
  <c r="E130" i="8"/>
  <c r="V130" i="8"/>
  <c r="V128" i="8" s="1"/>
  <c r="W130" i="8" l="1"/>
  <c r="W128" i="8" s="1"/>
  <c r="AB130" i="8"/>
  <c r="AB128" i="8" s="1"/>
  <c r="AE130" i="8"/>
  <c r="AE128" i="8" s="1"/>
  <c r="Z130" i="8"/>
  <c r="Z128" i="8" s="1"/>
  <c r="D130" i="8"/>
  <c r="D128" i="8" s="1"/>
  <c r="T130" i="8"/>
  <c r="T128" i="8" s="1"/>
  <c r="Y130" i="8"/>
  <c r="Y128" i="8" s="1"/>
  <c r="AD130" i="8"/>
  <c r="AD128" i="8" s="1"/>
  <c r="AC130" i="8"/>
  <c r="AC128" i="8" s="1"/>
  <c r="X130" i="8"/>
  <c r="X128" i="8" s="1"/>
  <c r="U130" i="8"/>
  <c r="U128" i="8" s="1"/>
  <c r="AA130" i="8"/>
  <c r="AA128" i="8" s="1"/>
  <c r="G131" i="8"/>
  <c r="I132" i="8" s="1"/>
  <c r="G132" i="8"/>
  <c r="F131" i="8"/>
  <c r="Q131" i="8"/>
  <c r="R133" i="8"/>
  <c r="E135" i="8"/>
  <c r="L134" i="8" l="1"/>
  <c r="H134" i="8"/>
  <c r="N134" i="8"/>
  <c r="M134" i="8"/>
  <c r="O134" i="8"/>
  <c r="R134" i="8"/>
  <c r="Y133" i="8" s="1"/>
  <c r="Y131" i="8" s="1"/>
  <c r="P134" i="8"/>
  <c r="I134" i="8"/>
  <c r="B131" i="8"/>
  <c r="E133" i="8"/>
  <c r="C131" i="8"/>
  <c r="AA133" i="8" l="1"/>
  <c r="AA131" i="8" s="1"/>
  <c r="X133" i="8"/>
  <c r="X131" i="8" s="1"/>
  <c r="W133" i="8"/>
  <c r="W131" i="8" s="1"/>
  <c r="Z133" i="8"/>
  <c r="Z131" i="8" s="1"/>
  <c r="D133" i="8"/>
  <c r="D131" i="8" s="1"/>
  <c r="V133" i="8"/>
  <c r="V131" i="8" s="1"/>
  <c r="T133" i="8"/>
  <c r="T131" i="8" s="1"/>
  <c r="AB133" i="8"/>
  <c r="AB131" i="8" s="1"/>
  <c r="AE133" i="8"/>
  <c r="AE131" i="8" s="1"/>
  <c r="U133" i="8"/>
  <c r="U131" i="8" s="1"/>
  <c r="AD133" i="8"/>
  <c r="AD131" i="8" s="1"/>
  <c r="AC133" i="8"/>
  <c r="AC131" i="8" s="1"/>
  <c r="F134" i="8"/>
  <c r="G135" i="8"/>
  <c r="G134" i="8"/>
  <c r="I135" i="8" s="1"/>
  <c r="F135" i="8"/>
  <c r="R136" i="8"/>
  <c r="Q134" i="8"/>
  <c r="E138" i="8"/>
  <c r="L137" i="8" l="1"/>
  <c r="P137" i="8"/>
  <c r="O137" i="8"/>
  <c r="M137" i="8"/>
  <c r="R137" i="8"/>
  <c r="AD136" i="8" s="1"/>
  <c r="AD134" i="8" s="1"/>
  <c r="I137" i="8"/>
  <c r="N137" i="8"/>
  <c r="H137" i="8"/>
  <c r="C134" i="8"/>
  <c r="E136" i="8"/>
  <c r="B134" i="8"/>
  <c r="Y136" i="8" l="1"/>
  <c r="Y134" i="8" s="1"/>
  <c r="X136" i="8"/>
  <c r="X134" i="8" s="1"/>
  <c r="D136" i="8"/>
  <c r="D134" i="8" s="1"/>
  <c r="AE136" i="8"/>
  <c r="AE134" i="8" s="1"/>
  <c r="AC136" i="8"/>
  <c r="AC134" i="8" s="1"/>
  <c r="T136" i="8"/>
  <c r="T134" i="8" s="1"/>
  <c r="Z136" i="8"/>
  <c r="Z134" i="8" s="1"/>
  <c r="V136" i="8"/>
  <c r="V134" i="8" s="1"/>
  <c r="F137" i="8"/>
  <c r="W136" i="8"/>
  <c r="W134" i="8" s="1"/>
  <c r="AB136" i="8"/>
  <c r="AB134" i="8" s="1"/>
  <c r="U136" i="8"/>
  <c r="U134" i="8" s="1"/>
  <c r="AA136" i="8"/>
  <c r="AA134" i="8" s="1"/>
  <c r="F138" i="8"/>
  <c r="G137" i="8"/>
  <c r="I138" i="8" s="1"/>
  <c r="G138" i="8"/>
  <c r="Q137" i="8"/>
  <c r="R139" i="8"/>
  <c r="E141" i="8"/>
  <c r="N35" i="8"/>
  <c r="Q35" i="8" s="1"/>
  <c r="C137" i="8" l="1"/>
  <c r="B137" i="8"/>
  <c r="E139" i="8"/>
  <c r="H140" i="8"/>
  <c r="O140" i="8"/>
  <c r="M140" i="8"/>
  <c r="I140" i="8"/>
  <c r="P140" i="8"/>
  <c r="L140" i="8"/>
  <c r="N140" i="8"/>
  <c r="R140" i="8"/>
  <c r="B35" i="8"/>
  <c r="T37" i="8"/>
  <c r="E37" i="8"/>
  <c r="AB37" i="8" s="1"/>
  <c r="C35" i="8"/>
  <c r="AA139" i="8" l="1"/>
  <c r="AA137" i="8" s="1"/>
  <c r="G140" i="8"/>
  <c r="I141" i="8" s="1"/>
  <c r="G141" i="8"/>
  <c r="F141" i="8"/>
  <c r="U139" i="8"/>
  <c r="U137" i="8" s="1"/>
  <c r="W139" i="8"/>
  <c r="W137" i="8" s="1"/>
  <c r="AC139" i="8"/>
  <c r="AC137" i="8" s="1"/>
  <c r="AB139" i="8"/>
  <c r="AB137" i="8" s="1"/>
  <c r="AE139" i="8"/>
  <c r="AE137" i="8" s="1"/>
  <c r="Y139" i="8"/>
  <c r="Y137" i="8" s="1"/>
  <c r="X139" i="8"/>
  <c r="X137" i="8" s="1"/>
  <c r="AD139" i="8"/>
  <c r="AD137" i="8" s="1"/>
  <c r="D139" i="8"/>
  <c r="D137" i="8" s="1"/>
  <c r="F140" i="8"/>
  <c r="R142" i="8"/>
  <c r="Q140" i="8"/>
  <c r="E144" i="8"/>
  <c r="V139" i="8"/>
  <c r="V137" i="8" s="1"/>
  <c r="Z139" i="8"/>
  <c r="Z137" i="8" s="1"/>
  <c r="T139" i="8"/>
  <c r="T137" i="8" s="1"/>
  <c r="Z37" i="8"/>
  <c r="Z35" i="8" s="1"/>
  <c r="AD37" i="8"/>
  <c r="W37" i="8"/>
  <c r="V37" i="8"/>
  <c r="D37" i="8"/>
  <c r="D35" i="8" s="1"/>
  <c r="AB35" i="8"/>
  <c r="T35" i="8"/>
  <c r="Y37" i="8"/>
  <c r="AC37" i="8"/>
  <c r="U37" i="8"/>
  <c r="AE37" i="8"/>
  <c r="AA37" i="8"/>
  <c r="X37" i="8"/>
  <c r="B140" i="8" l="1"/>
  <c r="E142" i="8"/>
  <c r="C140" i="8"/>
  <c r="N143" i="8"/>
  <c r="R143" i="8"/>
  <c r="AB142" i="8" s="1"/>
  <c r="AB140" i="8" s="1"/>
  <c r="L143" i="8"/>
  <c r="I143" i="8"/>
  <c r="M143" i="8"/>
  <c r="O143" i="8"/>
  <c r="P143" i="8"/>
  <c r="H143" i="8"/>
  <c r="W35" i="8"/>
  <c r="AD35" i="8"/>
  <c r="V35" i="8"/>
  <c r="X35" i="8"/>
  <c r="AE35" i="8"/>
  <c r="AC35" i="8"/>
  <c r="AA35" i="8"/>
  <c r="U35" i="8"/>
  <c r="Y35" i="8"/>
  <c r="Z142" i="8" l="1"/>
  <c r="Z140" i="8" s="1"/>
  <c r="F144" i="8"/>
  <c r="AA142" i="8"/>
  <c r="AA140" i="8" s="1"/>
  <c r="W142" i="8"/>
  <c r="W140" i="8" s="1"/>
  <c r="X142" i="8"/>
  <c r="X140" i="8" s="1"/>
  <c r="R145" i="8"/>
  <c r="Q143" i="8"/>
  <c r="E147" i="8"/>
  <c r="D142" i="8"/>
  <c r="D140" i="8" s="1"/>
  <c r="AC142" i="8"/>
  <c r="AC140" i="8" s="1"/>
  <c r="G144" i="8"/>
  <c r="G143" i="8"/>
  <c r="I144" i="8" s="1"/>
  <c r="AD142" i="8"/>
  <c r="AD140" i="8" s="1"/>
  <c r="Y142" i="8"/>
  <c r="Y140" i="8" s="1"/>
  <c r="U142" i="8"/>
  <c r="U140" i="8" s="1"/>
  <c r="F143" i="8"/>
  <c r="V142" i="8"/>
  <c r="V140" i="8" s="1"/>
  <c r="T142" i="8"/>
  <c r="T140" i="8" s="1"/>
  <c r="AE142" i="8"/>
  <c r="AE140" i="8" s="1"/>
  <c r="N146" i="8" l="1"/>
  <c r="I146" i="8"/>
  <c r="P146" i="8"/>
  <c r="L146" i="8"/>
  <c r="M146" i="8"/>
  <c r="O146" i="8"/>
  <c r="H146" i="8"/>
  <c r="R146" i="8"/>
  <c r="D145" i="8" s="1"/>
  <c r="D143" i="8" s="1"/>
  <c r="B143" i="8"/>
  <c r="E145" i="8"/>
  <c r="C143" i="8"/>
  <c r="AC145" i="8"/>
  <c r="AC143" i="8" s="1"/>
  <c r="AE145" i="8" l="1"/>
  <c r="AE143" i="8" s="1"/>
  <c r="T145" i="8"/>
  <c r="T143" i="8" s="1"/>
  <c r="AB145" i="8"/>
  <c r="AB143" i="8" s="1"/>
  <c r="X145" i="8"/>
  <c r="X143" i="8" s="1"/>
  <c r="U145" i="8"/>
  <c r="U143" i="8" s="1"/>
  <c r="Z145" i="8"/>
  <c r="Z143" i="8" s="1"/>
  <c r="AD145" i="8"/>
  <c r="AD143" i="8" s="1"/>
  <c r="W145" i="8"/>
  <c r="W143" i="8" s="1"/>
  <c r="AA145" i="8"/>
  <c r="AA143" i="8" s="1"/>
  <c r="V145" i="8"/>
  <c r="V143" i="8" s="1"/>
  <c r="Y145" i="8"/>
  <c r="Y143" i="8" s="1"/>
  <c r="F147" i="8"/>
  <c r="G146" i="8"/>
  <c r="I147" i="8" s="1"/>
  <c r="G147" i="8"/>
  <c r="R148" i="8"/>
  <c r="Q146" i="8"/>
  <c r="E150" i="8"/>
  <c r="F146" i="8"/>
  <c r="N149" i="8" l="1"/>
  <c r="M149" i="8"/>
  <c r="I149" i="8"/>
  <c r="H149" i="8"/>
  <c r="L149" i="8"/>
  <c r="R149" i="8"/>
  <c r="Y148" i="8" s="1"/>
  <c r="Y146" i="8" s="1"/>
  <c r="P149" i="8"/>
  <c r="O149" i="8"/>
  <c r="B146" i="8"/>
  <c r="C146" i="8"/>
  <c r="E148" i="8"/>
  <c r="AA148" i="8"/>
  <c r="AA146" i="8" s="1"/>
  <c r="V148" i="8" l="1"/>
  <c r="V146" i="8" s="1"/>
  <c r="AE148" i="8"/>
  <c r="AE146" i="8" s="1"/>
  <c r="AD148" i="8"/>
  <c r="AD146" i="8" s="1"/>
  <c r="AB148" i="8"/>
  <c r="AB146" i="8" s="1"/>
  <c r="W148" i="8"/>
  <c r="W146" i="8" s="1"/>
  <c r="U148" i="8"/>
  <c r="U146" i="8" s="1"/>
  <c r="T148" i="8"/>
  <c r="T146" i="8" s="1"/>
  <c r="AC148" i="8"/>
  <c r="AC146" i="8" s="1"/>
  <c r="D148" i="8"/>
  <c r="D146" i="8" s="1"/>
  <c r="X148" i="8"/>
  <c r="X146" i="8" s="1"/>
  <c r="Z148" i="8"/>
  <c r="Z146" i="8" s="1"/>
  <c r="F150" i="8"/>
  <c r="G149" i="8"/>
  <c r="I150" i="8" s="1"/>
  <c r="G150" i="8"/>
  <c r="F149" i="8"/>
  <c r="Q149" i="8"/>
  <c r="R151" i="8"/>
  <c r="E153" i="8"/>
  <c r="L152" i="8" l="1"/>
  <c r="P152" i="8"/>
  <c r="R152" i="8"/>
  <c r="T151" i="8" s="1"/>
  <c r="T149" i="8" s="1"/>
  <c r="H152" i="8"/>
  <c r="M152" i="8"/>
  <c r="I152" i="8"/>
  <c r="N152" i="8"/>
  <c r="O152" i="8"/>
  <c r="C149" i="8"/>
  <c r="E151" i="8"/>
  <c r="B149" i="8"/>
  <c r="D151" i="8" l="1"/>
  <c r="D149" i="8" s="1"/>
  <c r="W151" i="8"/>
  <c r="W149" i="8" s="1"/>
  <c r="AB151" i="8"/>
  <c r="AB149" i="8" s="1"/>
  <c r="Y151" i="8"/>
  <c r="Y149" i="8" s="1"/>
  <c r="AA151" i="8"/>
  <c r="AA149" i="8" s="1"/>
  <c r="AE151" i="8"/>
  <c r="AE149" i="8" s="1"/>
  <c r="Z151" i="8"/>
  <c r="Z149" i="8" s="1"/>
  <c r="AD151" i="8"/>
  <c r="AD149" i="8" s="1"/>
  <c r="V151" i="8"/>
  <c r="V149" i="8" s="1"/>
  <c r="X151" i="8"/>
  <c r="X149" i="8" s="1"/>
  <c r="U151" i="8"/>
  <c r="U149" i="8" s="1"/>
  <c r="AC151" i="8"/>
  <c r="AC149" i="8" s="1"/>
  <c r="F152" i="8"/>
  <c r="G152" i="8"/>
  <c r="I153" i="8" s="1"/>
  <c r="G153" i="8"/>
  <c r="F153" i="8"/>
  <c r="Q152" i="8"/>
  <c r="R154" i="8"/>
  <c r="E156" i="8"/>
  <c r="H155" i="8" l="1"/>
  <c r="P155" i="8"/>
  <c r="R155" i="8"/>
  <c r="V154" i="8" s="1"/>
  <c r="V152" i="8" s="1"/>
  <c r="O155" i="8"/>
  <c r="I155" i="8"/>
  <c r="M155" i="8"/>
  <c r="L155" i="8"/>
  <c r="N155" i="8"/>
  <c r="C152" i="8"/>
  <c r="E154" i="8"/>
  <c r="B152" i="8"/>
  <c r="AC154" i="8"/>
  <c r="AC152" i="8" s="1"/>
  <c r="N20" i="8"/>
  <c r="Q20" i="8" s="1"/>
  <c r="N17" i="8"/>
  <c r="Q17" i="8" s="1"/>
  <c r="AD154" i="8" l="1"/>
  <c r="AD152" i="8" s="1"/>
  <c r="U154" i="8"/>
  <c r="U152" i="8" s="1"/>
  <c r="X154" i="8"/>
  <c r="X152" i="8" s="1"/>
  <c r="AA154" i="8"/>
  <c r="AA152" i="8" s="1"/>
  <c r="W154" i="8"/>
  <c r="W152" i="8" s="1"/>
  <c r="Y154" i="8"/>
  <c r="Y152" i="8" s="1"/>
  <c r="AB154" i="8"/>
  <c r="AB152" i="8" s="1"/>
  <c r="D154" i="8"/>
  <c r="D152" i="8" s="1"/>
  <c r="Z154" i="8"/>
  <c r="Z152" i="8" s="1"/>
  <c r="T154" i="8"/>
  <c r="T152" i="8" s="1"/>
  <c r="AE154" i="8"/>
  <c r="AE152" i="8" s="1"/>
  <c r="G18" i="8"/>
  <c r="R157" i="8"/>
  <c r="Q155" i="8"/>
  <c r="E159" i="8"/>
  <c r="F156" i="8"/>
  <c r="G155" i="8"/>
  <c r="I156" i="8" s="1"/>
  <c r="G156" i="8"/>
  <c r="F155" i="8"/>
  <c r="E22" i="8"/>
  <c r="E19" i="8"/>
  <c r="AD19" i="8" s="1"/>
  <c r="C17" i="8"/>
  <c r="Y19" i="8" l="1"/>
  <c r="Y17" i="8" s="1"/>
  <c r="L158" i="8"/>
  <c r="P158" i="8"/>
  <c r="R158" i="8"/>
  <c r="Y157" i="8" s="1"/>
  <c r="Y155" i="8" s="1"/>
  <c r="I158" i="8"/>
  <c r="H158" i="8"/>
  <c r="O158" i="8"/>
  <c r="M158" i="8"/>
  <c r="N158" i="8"/>
  <c r="C155" i="8"/>
  <c r="E157" i="8"/>
  <c r="B155" i="8"/>
  <c r="Z19" i="8"/>
  <c r="AA19" i="8"/>
  <c r="AD17" i="8"/>
  <c r="AB19" i="8"/>
  <c r="AC19" i="8"/>
  <c r="AC17" i="8" s="1"/>
  <c r="U19" i="8"/>
  <c r="U17" i="8" s="1"/>
  <c r="V19" i="8"/>
  <c r="AE19" i="8"/>
  <c r="W19" i="8"/>
  <c r="W17" i="8" s="1"/>
  <c r="T19" i="8"/>
  <c r="T17" i="8" s="1"/>
  <c r="X19" i="8"/>
  <c r="D19" i="8"/>
  <c r="AB157" i="8" l="1"/>
  <c r="AB155" i="8" s="1"/>
  <c r="AC157" i="8"/>
  <c r="AC155" i="8" s="1"/>
  <c r="U157" i="8"/>
  <c r="U155" i="8" s="1"/>
  <c r="AA157" i="8"/>
  <c r="AA155" i="8" s="1"/>
  <c r="V157" i="8"/>
  <c r="V155" i="8" s="1"/>
  <c r="AE157" i="8"/>
  <c r="AE155" i="8" s="1"/>
  <c r="T157" i="8"/>
  <c r="T155" i="8" s="1"/>
  <c r="W157" i="8"/>
  <c r="W155" i="8" s="1"/>
  <c r="Z157" i="8"/>
  <c r="Z155" i="8" s="1"/>
  <c r="X157" i="8"/>
  <c r="X155" i="8" s="1"/>
  <c r="AD157" i="8"/>
  <c r="AD155" i="8" s="1"/>
  <c r="D157" i="8"/>
  <c r="D155" i="8" s="1"/>
  <c r="F158" i="8"/>
  <c r="G159" i="8"/>
  <c r="G158" i="8"/>
  <c r="I159" i="8" s="1"/>
  <c r="F159" i="8"/>
  <c r="R160" i="8"/>
  <c r="Q158" i="8"/>
  <c r="E162" i="8"/>
  <c r="AA17" i="8"/>
  <c r="AB17" i="8"/>
  <c r="Z17" i="8"/>
  <c r="AE17" i="8"/>
  <c r="V17" i="8"/>
  <c r="D17" i="8"/>
  <c r="X17" i="8"/>
  <c r="G17" i="8" l="1"/>
  <c r="I18" i="8" s="1"/>
  <c r="P161" i="8"/>
  <c r="R161" i="8"/>
  <c r="F162" i="8" s="1"/>
  <c r="I161" i="8"/>
  <c r="M161" i="8"/>
  <c r="L161" i="8"/>
  <c r="N23" i="8" s="1"/>
  <c r="Q23" i="8" s="1"/>
  <c r="N161" i="8"/>
  <c r="O161" i="8"/>
  <c r="H161" i="8"/>
  <c r="E160" i="8"/>
  <c r="B158" i="8"/>
  <c r="C158" i="8"/>
  <c r="AE160" i="8"/>
  <c r="AE158" i="8" s="1"/>
  <c r="AA160" i="8"/>
  <c r="AA158" i="8" s="1"/>
  <c r="AC160" i="8" l="1"/>
  <c r="AC158" i="8" s="1"/>
  <c r="E25" i="8"/>
  <c r="N29" i="8"/>
  <c r="Q29" i="8" s="1"/>
  <c r="C29" i="8" s="1"/>
  <c r="N32" i="8"/>
  <c r="Q32" i="8" s="1"/>
  <c r="D160" i="8"/>
  <c r="D158" i="8" s="1"/>
  <c r="U160" i="8"/>
  <c r="U158" i="8" s="1"/>
  <c r="Y160" i="8"/>
  <c r="Y158" i="8" s="1"/>
  <c r="W160" i="8"/>
  <c r="W158" i="8" s="1"/>
  <c r="AD160" i="8"/>
  <c r="AD158" i="8" s="1"/>
  <c r="T160" i="8"/>
  <c r="T158" i="8" s="1"/>
  <c r="V160" i="8"/>
  <c r="V158" i="8" s="1"/>
  <c r="X160" i="8"/>
  <c r="X158" i="8" s="1"/>
  <c r="Z160" i="8"/>
  <c r="Z158" i="8" s="1"/>
  <c r="AB160" i="8"/>
  <c r="AB158" i="8" s="1"/>
  <c r="G162" i="8"/>
  <c r="G161" i="8"/>
  <c r="I162" i="8" s="1"/>
  <c r="F161" i="8"/>
  <c r="N26" i="8"/>
  <c r="Q26" i="8" s="1"/>
  <c r="Q161" i="8"/>
  <c r="R163" i="8"/>
  <c r="B29" i="8" l="1"/>
  <c r="AE31" i="8"/>
  <c r="AE29" i="8" s="1"/>
  <c r="E31" i="8"/>
  <c r="G29" i="8"/>
  <c r="I30" i="8" s="1"/>
  <c r="AD31" i="8"/>
  <c r="AD29" i="8" s="1"/>
  <c r="G30" i="8"/>
  <c r="G33" i="8"/>
  <c r="G32" i="8"/>
  <c r="I33" i="8" s="1"/>
  <c r="E34" i="8"/>
  <c r="AA34" i="8" s="1"/>
  <c r="AA32" i="8" s="1"/>
  <c r="V34" i="8"/>
  <c r="V32" i="8" s="1"/>
  <c r="U34" i="8"/>
  <c r="U32" i="8" s="1"/>
  <c r="Z34" i="8"/>
  <c r="Z32" i="8" s="1"/>
  <c r="C32" i="8"/>
  <c r="D34" i="8"/>
  <c r="D32" i="8" s="1"/>
  <c r="W34" i="8"/>
  <c r="W32" i="8" s="1"/>
  <c r="X34" i="8"/>
  <c r="X32" i="8" s="1"/>
  <c r="Y34" i="8"/>
  <c r="Y32" i="8" s="1"/>
  <c r="T34" i="8"/>
  <c r="T32" i="8" s="1"/>
  <c r="AB34" i="8"/>
  <c r="AB32" i="8" s="1"/>
  <c r="AE34" i="8"/>
  <c r="AE32" i="8" s="1"/>
  <c r="AD34" i="8"/>
  <c r="AD32" i="8" s="1"/>
  <c r="AC34" i="8"/>
  <c r="AC32" i="8" s="1"/>
  <c r="B32" i="8"/>
  <c r="E28" i="8"/>
  <c r="Z163" i="8"/>
  <c r="Z161" i="8" s="1"/>
  <c r="X163" i="8"/>
  <c r="X161" i="8" s="1"/>
  <c r="E163" i="8"/>
  <c r="T163" i="8"/>
  <c r="T161" i="8" s="1"/>
  <c r="AE163" i="8"/>
  <c r="AE161" i="8" s="1"/>
  <c r="B161" i="8"/>
  <c r="W163" i="8"/>
  <c r="W161" i="8" s="1"/>
  <c r="C161" i="8"/>
  <c r="V163" i="8"/>
  <c r="V161" i="8" s="1"/>
  <c r="AC163" i="8"/>
  <c r="AC161" i="8" s="1"/>
  <c r="Y163" i="8"/>
  <c r="Y161" i="8" s="1"/>
  <c r="AD163" i="8"/>
  <c r="AD161" i="8" s="1"/>
  <c r="D163" i="8"/>
  <c r="D161" i="8" s="1"/>
  <c r="U163" i="8"/>
  <c r="U161" i="8" s="1"/>
  <c r="AB163" i="8"/>
  <c r="AB161" i="8" s="1"/>
  <c r="AA163" i="8"/>
  <c r="AA161" i="8" s="1"/>
  <c r="D31" i="8" l="1"/>
  <c r="D29" i="8" s="1"/>
  <c r="AA31" i="8"/>
  <c r="AA29" i="8" s="1"/>
  <c r="AC31" i="8"/>
  <c r="AC29" i="8" s="1"/>
  <c r="AB31" i="8"/>
  <c r="AB29" i="8" s="1"/>
  <c r="U31" i="8"/>
  <c r="U29" i="8" s="1"/>
  <c r="Z31" i="8"/>
  <c r="Z29" i="8" s="1"/>
  <c r="V31" i="8"/>
  <c r="V29" i="8" s="1"/>
  <c r="Y31" i="8"/>
  <c r="Y29" i="8" s="1"/>
  <c r="T31" i="8"/>
  <c r="T29" i="8" s="1"/>
  <c r="X31" i="8"/>
  <c r="X29" i="8" s="1"/>
  <c r="W31" i="8"/>
  <c r="W29" i="8" s="1"/>
  <c r="AA26" i="8"/>
  <c r="V26" i="8" l="1"/>
  <c r="AE26" i="8"/>
  <c r="Y26" i="8"/>
  <c r="W26" i="8"/>
  <c r="AD26" i="8"/>
  <c r="AC26" i="8"/>
  <c r="U26" i="8"/>
  <c r="D26" i="8"/>
  <c r="T26" i="8"/>
  <c r="E42" i="12" l="1"/>
  <c r="F42" i="6"/>
  <c r="G42" i="6"/>
  <c r="E34" i="12"/>
  <c r="AF174" i="5"/>
  <c r="AF180" i="5"/>
  <c r="AF151" i="5"/>
  <c r="AF146" i="5"/>
  <c r="AF191" i="5"/>
  <c r="AF255" i="5"/>
  <c r="AF184" i="5"/>
  <c r="AF60" i="5"/>
  <c r="AF114" i="5"/>
  <c r="AF244" i="5"/>
  <c r="AF105" i="5"/>
  <c r="AF216" i="5"/>
  <c r="AF115" i="5"/>
  <c r="AF204" i="5"/>
  <c r="AF217" i="5"/>
  <c r="AF253" i="5"/>
  <c r="AF111" i="5"/>
  <c r="AF153" i="5"/>
  <c r="AF139" i="5"/>
  <c r="AF63" i="5"/>
  <c r="AF249" i="5"/>
  <c r="AF183" i="5"/>
  <c r="AF228" i="5"/>
  <c r="AF140" i="5"/>
  <c r="AF254" i="5"/>
  <c r="AF185" i="5"/>
  <c r="AF71" i="5"/>
  <c r="AF222" i="5"/>
  <c r="AF102" i="5"/>
  <c r="AF231" i="5"/>
  <c r="AF171" i="5"/>
  <c r="AF210" i="5"/>
  <c r="AF182" i="5"/>
  <c r="AF87" i="5"/>
  <c r="AF65" i="5"/>
  <c r="AF129" i="5"/>
  <c r="AF101" i="5"/>
  <c r="AF135" i="5"/>
  <c r="AF177" i="5"/>
  <c r="AF75" i="5"/>
  <c r="AF80" i="5"/>
  <c r="AF110" i="5"/>
  <c r="AF163" i="5"/>
  <c r="AF209" i="5"/>
  <c r="AF205" i="5"/>
  <c r="AF125" i="5"/>
  <c r="AF197" i="5"/>
  <c r="AF138" i="5"/>
  <c r="AF50" i="5"/>
  <c r="AF97" i="5"/>
  <c r="AF237" i="5"/>
  <c r="AF123" i="5"/>
  <c r="AF100" i="5"/>
  <c r="AF208" i="5"/>
  <c r="AF78" i="5"/>
  <c r="AF84" i="5"/>
  <c r="AF200" i="5"/>
  <c r="AF137" i="5"/>
  <c r="AF119" i="5"/>
  <c r="AF131" i="5"/>
  <c r="AF215" i="5"/>
  <c r="AF72" i="5"/>
  <c r="AF77" i="5"/>
  <c r="AF229" i="5"/>
  <c r="AF227" i="5"/>
  <c r="AF243" i="5"/>
  <c r="AF134" i="5"/>
  <c r="AF136" i="5"/>
  <c r="AF169" i="5"/>
  <c r="AF67" i="5"/>
  <c r="AF261" i="5"/>
  <c r="AF192" i="5"/>
  <c r="AF52" i="5"/>
  <c r="AF150" i="5"/>
  <c r="AF98" i="5"/>
  <c r="AF81" i="5"/>
  <c r="AF251" i="5"/>
  <c r="AF250" i="5"/>
  <c r="AF82" i="5"/>
  <c r="AF240" i="5"/>
  <c r="AF158" i="5"/>
  <c r="AF117" i="5"/>
  <c r="AF248" i="5"/>
  <c r="AF194" i="5"/>
  <c r="AF199" i="5"/>
  <c r="AF221" i="5"/>
  <c r="AF144" i="5"/>
  <c r="AF64" i="5"/>
  <c r="AF230" i="5"/>
  <c r="AF233" i="5"/>
  <c r="AF159" i="5"/>
  <c r="AF165" i="5"/>
  <c r="AF152" i="5"/>
  <c r="AF79" i="5"/>
  <c r="AF86" i="5"/>
  <c r="AF166" i="5"/>
  <c r="AF247" i="5"/>
  <c r="AF246" i="5"/>
  <c r="AF259" i="5"/>
  <c r="AF252" i="5"/>
  <c r="AF236" i="5"/>
  <c r="AF141" i="5"/>
  <c r="AF62" i="5"/>
  <c r="AF196" i="5"/>
  <c r="AF103" i="5"/>
  <c r="AF109" i="5"/>
  <c r="AF242" i="5"/>
  <c r="AF175" i="5"/>
  <c r="AF155" i="5"/>
  <c r="AF95" i="5"/>
  <c r="AF219" i="5"/>
  <c r="AF260" i="5"/>
  <c r="AF107" i="5"/>
  <c r="AF108" i="5"/>
  <c r="AF124" i="5"/>
  <c r="AF263" i="5"/>
  <c r="AF172" i="5"/>
  <c r="AF201" i="5"/>
  <c r="AF133" i="5"/>
  <c r="AF91" i="5"/>
  <c r="AF170" i="5"/>
  <c r="AF176" i="5"/>
  <c r="AF154" i="5"/>
  <c r="AF83" i="5"/>
  <c r="AF238" i="5"/>
  <c r="AF173" i="5"/>
  <c r="AF213" i="5"/>
  <c r="AF239" i="5"/>
  <c r="AF207" i="5"/>
  <c r="AF58" i="5"/>
  <c r="AF118" i="5"/>
  <c r="AF120" i="5"/>
  <c r="AF70" i="5"/>
  <c r="AF93" i="5"/>
  <c r="AF76" i="5"/>
  <c r="AF85" i="5"/>
  <c r="AF161" i="5"/>
  <c r="AF61" i="5"/>
  <c r="AF226" i="5"/>
  <c r="AF232" i="5"/>
  <c r="AF223" i="5"/>
  <c r="AF234" i="5"/>
  <c r="AF168" i="5"/>
  <c r="AF148" i="5"/>
  <c r="AF224" i="5"/>
  <c r="AF94" i="5"/>
  <c r="AF116" i="5"/>
  <c r="AF212" i="5"/>
  <c r="AF132" i="5"/>
  <c r="AF92" i="5"/>
  <c r="AF160" i="5"/>
  <c r="AF178" i="5"/>
  <c r="AF88" i="5"/>
  <c r="AF193" i="5"/>
  <c r="AF262" i="5"/>
  <c r="AF179" i="5"/>
  <c r="AF241" i="5"/>
  <c r="AF142" i="5"/>
  <c r="AF149" i="5"/>
  <c r="AF187" i="5"/>
  <c r="AF89" i="5"/>
  <c r="AF181" i="5"/>
  <c r="AF206" i="5"/>
  <c r="AF122" i="5"/>
  <c r="AF164" i="5"/>
  <c r="AF189" i="5"/>
  <c r="AF73" i="5"/>
  <c r="AF157" i="5"/>
  <c r="AF257" i="5"/>
  <c r="AF99" i="5"/>
  <c r="AF143" i="5"/>
  <c r="AF126" i="5"/>
  <c r="AF113" i="5"/>
  <c r="AF235" i="5"/>
  <c r="AF211" i="5"/>
  <c r="AF162" i="5"/>
  <c r="AF156" i="5"/>
  <c r="AF220" i="5"/>
  <c r="AF68" i="5"/>
  <c r="AF203" i="5"/>
  <c r="AF265" i="5"/>
  <c r="AF74" i="5"/>
  <c r="AF128" i="5"/>
  <c r="AF106" i="5"/>
  <c r="AF258" i="5"/>
  <c r="AF147" i="5"/>
  <c r="AF214" i="5"/>
  <c r="AF104" i="5"/>
  <c r="AF112" i="5"/>
  <c r="AF69" i="5"/>
  <c r="AF245" i="5"/>
  <c r="AF121" i="5"/>
  <c r="AF96" i="5"/>
  <c r="AF90" i="5"/>
  <c r="AF256" i="5"/>
  <c r="AF188" i="5"/>
  <c r="AF127" i="5"/>
  <c r="AF264" i="5"/>
  <c r="AF198" i="5"/>
  <c r="AF225" i="5"/>
  <c r="AF167" i="5"/>
  <c r="AF190" i="5"/>
  <c r="AF195" i="5"/>
  <c r="AF59" i="5"/>
  <c r="AF186" i="5"/>
  <c r="AF66" i="5"/>
  <c r="AF145" i="5"/>
  <c r="AF202" i="5"/>
  <c r="AF130" i="5"/>
  <c r="AF218" i="5"/>
  <c r="R50" i="5" l="1"/>
  <c r="S255" i="5"/>
  <c r="R255" i="5"/>
  <c r="AG255" i="5"/>
  <c r="R239" i="5"/>
  <c r="S239" i="5"/>
  <c r="AG239" i="5"/>
  <c r="R223" i="5"/>
  <c r="S223" i="5"/>
  <c r="AG223" i="5"/>
  <c r="AG207" i="5"/>
  <c r="S207" i="5"/>
  <c r="R207" i="5"/>
  <c r="AG191" i="5"/>
  <c r="S191" i="5"/>
  <c r="R191" i="5"/>
  <c r="R175" i="5"/>
  <c r="S175" i="5"/>
  <c r="AG175" i="5"/>
  <c r="S159" i="5"/>
  <c r="AG159" i="5"/>
  <c r="R159" i="5"/>
  <c r="R143" i="5"/>
  <c r="S143" i="5"/>
  <c r="AG143" i="5"/>
  <c r="S127" i="5"/>
  <c r="AG127" i="5"/>
  <c r="R127" i="5"/>
  <c r="AG111" i="5"/>
  <c r="R111" i="5"/>
  <c r="S111" i="5"/>
  <c r="R95" i="5"/>
  <c r="AG95" i="5"/>
  <c r="S95" i="5"/>
  <c r="AG79" i="5"/>
  <c r="S79" i="5"/>
  <c r="R79" i="5"/>
  <c r="S63" i="5"/>
  <c r="R63" i="5"/>
  <c r="AG63" i="5"/>
  <c r="S262" i="5"/>
  <c r="R262" i="5"/>
  <c r="AG262" i="5"/>
  <c r="AG246" i="5"/>
  <c r="S246" i="5"/>
  <c r="R246" i="5"/>
  <c r="S230" i="5"/>
  <c r="AG230" i="5"/>
  <c r="R230" i="5"/>
  <c r="S214" i="5"/>
  <c r="R214" i="5"/>
  <c r="AG214" i="5"/>
  <c r="R198" i="5"/>
  <c r="S198" i="5"/>
  <c r="AG198" i="5"/>
  <c r="R182" i="5"/>
  <c r="S182" i="5"/>
  <c r="AG182" i="5"/>
  <c r="AG166" i="5"/>
  <c r="S166" i="5"/>
  <c r="R166" i="5"/>
  <c r="S150" i="5"/>
  <c r="AG150" i="5"/>
  <c r="R150" i="5"/>
  <c r="R134" i="5"/>
  <c r="S134" i="5"/>
  <c r="AG134" i="5"/>
  <c r="S118" i="5"/>
  <c r="AG118" i="5"/>
  <c r="R118" i="5"/>
  <c r="R102" i="5"/>
  <c r="AG102" i="5"/>
  <c r="S102" i="5"/>
  <c r="R86" i="5"/>
  <c r="S86" i="5"/>
  <c r="AG86" i="5"/>
  <c r="AG70" i="5"/>
  <c r="S70" i="5"/>
  <c r="R70" i="5"/>
  <c r="S261" i="5"/>
  <c r="AG261" i="5"/>
  <c r="R261" i="5"/>
  <c r="S245" i="5"/>
  <c r="R245" i="5"/>
  <c r="AG245" i="5"/>
  <c r="R229" i="5"/>
  <c r="AG229" i="5"/>
  <c r="S229" i="5"/>
  <c r="S213" i="5"/>
  <c r="R213" i="5"/>
  <c r="AG213" i="5"/>
  <c r="R197" i="5"/>
  <c r="S197" i="5"/>
  <c r="AG197" i="5"/>
  <c r="AG181" i="5"/>
  <c r="S181" i="5"/>
  <c r="R181" i="5"/>
  <c r="S165" i="5"/>
  <c r="R165" i="5"/>
  <c r="AG165" i="5"/>
  <c r="AG149" i="5"/>
  <c r="R149" i="5"/>
  <c r="S149" i="5"/>
  <c r="S133" i="5"/>
  <c r="R133" i="5"/>
  <c r="AG133" i="5"/>
  <c r="AG117" i="5"/>
  <c r="R117" i="5"/>
  <c r="S117" i="5"/>
  <c r="S101" i="5"/>
  <c r="R101" i="5"/>
  <c r="AG101" i="5"/>
  <c r="R85" i="5"/>
  <c r="AG85" i="5"/>
  <c r="S85" i="5"/>
  <c r="S69" i="5"/>
  <c r="R69" i="5"/>
  <c r="AG69" i="5"/>
  <c r="S256" i="5"/>
  <c r="R256" i="5"/>
  <c r="AG256" i="5"/>
  <c r="R240" i="5"/>
  <c r="AG240" i="5"/>
  <c r="S240" i="5"/>
  <c r="S224" i="5"/>
  <c r="AG224" i="5"/>
  <c r="R224" i="5"/>
  <c r="AG208" i="5"/>
  <c r="S208" i="5"/>
  <c r="R208" i="5"/>
  <c r="AG192" i="5"/>
  <c r="R192" i="5"/>
  <c r="S192" i="5"/>
  <c r="R176" i="5"/>
  <c r="AG176" i="5"/>
  <c r="S176" i="5"/>
  <c r="R160" i="5"/>
  <c r="AG160" i="5"/>
  <c r="S160" i="5"/>
  <c r="R144" i="5"/>
  <c r="S144" i="5"/>
  <c r="AG144" i="5"/>
  <c r="AG128" i="5"/>
  <c r="S128" i="5"/>
  <c r="R128" i="5"/>
  <c r="R112" i="5"/>
  <c r="AG112" i="5"/>
  <c r="S112" i="5"/>
  <c r="R96" i="5"/>
  <c r="S96" i="5"/>
  <c r="AG96" i="5"/>
  <c r="R80" i="5"/>
  <c r="S80" i="5"/>
  <c r="AG80" i="5"/>
  <c r="S64" i="5"/>
  <c r="AG64" i="5"/>
  <c r="R64" i="5"/>
  <c r="AG251" i="5"/>
  <c r="R251" i="5"/>
  <c r="S251" i="5"/>
  <c r="R235" i="5"/>
  <c r="S235" i="5"/>
  <c r="AG235" i="5"/>
  <c r="S219" i="5"/>
  <c r="R219" i="5"/>
  <c r="AG219" i="5"/>
  <c r="R203" i="5"/>
  <c r="AG203" i="5"/>
  <c r="S203" i="5"/>
  <c r="AG187" i="5"/>
  <c r="R187" i="5"/>
  <c r="S187" i="5"/>
  <c r="S171" i="5"/>
  <c r="AG171" i="5"/>
  <c r="R171" i="5"/>
  <c r="AG155" i="5"/>
  <c r="R155" i="5"/>
  <c r="S155" i="5"/>
  <c r="R139" i="5"/>
  <c r="AG139" i="5"/>
  <c r="S139" i="5"/>
  <c r="R123" i="5"/>
  <c r="S123" i="5"/>
  <c r="AG123" i="5"/>
  <c r="R107" i="5"/>
  <c r="AG107" i="5"/>
  <c r="S107" i="5"/>
  <c r="S91" i="5"/>
  <c r="R91" i="5"/>
  <c r="AG91" i="5"/>
  <c r="S75" i="5"/>
  <c r="R75" i="5"/>
  <c r="AG75" i="5"/>
  <c r="AG59" i="5"/>
  <c r="S59" i="5"/>
  <c r="R59" i="5"/>
  <c r="AG258" i="5"/>
  <c r="R258" i="5"/>
  <c r="S258" i="5"/>
  <c r="S242" i="5"/>
  <c r="R242" i="5"/>
  <c r="AG242" i="5"/>
  <c r="S226" i="5"/>
  <c r="R226" i="5"/>
  <c r="AG226" i="5"/>
  <c r="S210" i="5"/>
  <c r="R210" i="5"/>
  <c r="AG210" i="5"/>
  <c r="AG194" i="5"/>
  <c r="S194" i="5"/>
  <c r="R194" i="5"/>
  <c r="AG178" i="5"/>
  <c r="R178" i="5"/>
  <c r="S178" i="5"/>
  <c r="S162" i="5"/>
  <c r="AG162" i="5"/>
  <c r="R162" i="5"/>
  <c r="R146" i="5"/>
  <c r="AG146" i="5"/>
  <c r="S146" i="5"/>
  <c r="S130" i="5"/>
  <c r="R130" i="5"/>
  <c r="AG130" i="5"/>
  <c r="S114" i="5"/>
  <c r="R114" i="5"/>
  <c r="AG114" i="5"/>
  <c r="S98" i="5"/>
  <c r="AG98" i="5"/>
  <c r="R98" i="5"/>
  <c r="R82" i="5"/>
  <c r="S82" i="5"/>
  <c r="AG82" i="5"/>
  <c r="AG66" i="5"/>
  <c r="R66" i="5"/>
  <c r="S66" i="5"/>
  <c r="S257" i="5"/>
  <c r="AG257" i="5"/>
  <c r="R257" i="5"/>
  <c r="S241" i="5"/>
  <c r="AG241" i="5"/>
  <c r="R241" i="5"/>
  <c r="R225" i="5"/>
  <c r="AG225" i="5"/>
  <c r="S225" i="5"/>
  <c r="AG209" i="5"/>
  <c r="S209" i="5"/>
  <c r="R209" i="5"/>
  <c r="R193" i="5"/>
  <c r="AG193" i="5"/>
  <c r="S193" i="5"/>
  <c r="R177" i="5"/>
  <c r="S177" i="5"/>
  <c r="AG177" i="5"/>
  <c r="S161" i="5"/>
  <c r="AG161" i="5"/>
  <c r="R161" i="5"/>
  <c r="AG145" i="5"/>
  <c r="S145" i="5"/>
  <c r="R145" i="5"/>
  <c r="AG129" i="5"/>
  <c r="R129" i="5"/>
  <c r="S129" i="5"/>
  <c r="S113" i="5"/>
  <c r="AG113" i="5"/>
  <c r="R113" i="5"/>
  <c r="AG97" i="5"/>
  <c r="S97" i="5"/>
  <c r="R97" i="5"/>
  <c r="R81" i="5"/>
  <c r="AG81" i="5"/>
  <c r="S81" i="5"/>
  <c r="R65" i="5"/>
  <c r="S65" i="5"/>
  <c r="AG65" i="5"/>
  <c r="AG252" i="5"/>
  <c r="S252" i="5"/>
  <c r="R252" i="5"/>
  <c r="S236" i="5"/>
  <c r="R236" i="5"/>
  <c r="AG236" i="5"/>
  <c r="R220" i="5"/>
  <c r="AG220" i="5"/>
  <c r="S220" i="5"/>
  <c r="AG204" i="5"/>
  <c r="S204" i="5"/>
  <c r="R204" i="5"/>
  <c r="AG188" i="5"/>
  <c r="S188" i="5"/>
  <c r="R188" i="5"/>
  <c r="AG172" i="5"/>
  <c r="S172" i="5"/>
  <c r="R172" i="5"/>
  <c r="AG156" i="5"/>
  <c r="R156" i="5"/>
  <c r="S156" i="5"/>
  <c r="R140" i="5"/>
  <c r="S140" i="5"/>
  <c r="AG140" i="5"/>
  <c r="R124" i="5"/>
  <c r="AG124" i="5"/>
  <c r="S124" i="5"/>
  <c r="AG108" i="5"/>
  <c r="R108" i="5"/>
  <c r="S108" i="5"/>
  <c r="S92" i="5"/>
  <c r="R92" i="5"/>
  <c r="AG92" i="5"/>
  <c r="S76" i="5"/>
  <c r="AG76" i="5"/>
  <c r="R76" i="5"/>
  <c r="AG60" i="5"/>
  <c r="R60" i="5"/>
  <c r="S60" i="5"/>
  <c r="AG263" i="5"/>
  <c r="R263" i="5"/>
  <c r="S263" i="5"/>
  <c r="AG247" i="5"/>
  <c r="S247" i="5"/>
  <c r="R247" i="5"/>
  <c r="R231" i="5"/>
  <c r="AG231" i="5"/>
  <c r="S231" i="5"/>
  <c r="AG215" i="5"/>
  <c r="S215" i="5"/>
  <c r="R215" i="5"/>
  <c r="S199" i="5"/>
  <c r="AG199" i="5"/>
  <c r="R199" i="5"/>
  <c r="AG183" i="5"/>
  <c r="S183" i="5"/>
  <c r="R183" i="5"/>
  <c r="S167" i="5"/>
  <c r="R167" i="5"/>
  <c r="AG167" i="5"/>
  <c r="AG151" i="5"/>
  <c r="S151" i="5"/>
  <c r="R151" i="5"/>
  <c r="S135" i="5"/>
  <c r="AG135" i="5"/>
  <c r="R135" i="5"/>
  <c r="AG119" i="5"/>
  <c r="R119" i="5"/>
  <c r="S119" i="5"/>
  <c r="S103" i="5"/>
  <c r="AG103" i="5"/>
  <c r="R103" i="5"/>
  <c r="S87" i="5"/>
  <c r="AG87" i="5"/>
  <c r="R87" i="5"/>
  <c r="AG71" i="5"/>
  <c r="S71" i="5"/>
  <c r="S254" i="5"/>
  <c r="AG254" i="5"/>
  <c r="R254" i="5"/>
  <c r="AG238" i="5"/>
  <c r="S238" i="5"/>
  <c r="R238" i="5"/>
  <c r="R222" i="5"/>
  <c r="AG222" i="5"/>
  <c r="S222" i="5"/>
  <c r="S206" i="5"/>
  <c r="R206" i="5"/>
  <c r="AG206" i="5"/>
  <c r="S190" i="5"/>
  <c r="R190" i="5"/>
  <c r="AG190" i="5"/>
  <c r="R174" i="5"/>
  <c r="AG174" i="5"/>
  <c r="S174" i="5"/>
  <c r="AG158" i="5"/>
  <c r="S158" i="5"/>
  <c r="R158" i="5"/>
  <c r="S142" i="5"/>
  <c r="R142" i="5"/>
  <c r="AG142" i="5"/>
  <c r="S126" i="5"/>
  <c r="R126" i="5"/>
  <c r="AG126" i="5"/>
  <c r="AG110" i="5"/>
  <c r="R110" i="5"/>
  <c r="S110" i="5"/>
  <c r="AG94" i="5"/>
  <c r="R94" i="5"/>
  <c r="S94" i="5"/>
  <c r="AG78" i="5"/>
  <c r="S78" i="5"/>
  <c r="R78" i="5"/>
  <c r="AG62" i="5"/>
  <c r="R62" i="5"/>
  <c r="S62" i="5"/>
  <c r="S253" i="5"/>
  <c r="AG253" i="5"/>
  <c r="R253" i="5"/>
  <c r="AG237" i="5"/>
  <c r="R237" i="5"/>
  <c r="S237" i="5"/>
  <c r="R221" i="5"/>
  <c r="AG221" i="5"/>
  <c r="S221" i="5"/>
  <c r="AG205" i="5"/>
  <c r="S205" i="5"/>
  <c r="R205" i="5"/>
  <c r="AG189" i="5"/>
  <c r="R189" i="5"/>
  <c r="S189" i="5"/>
  <c r="AG173" i="5"/>
  <c r="S173" i="5"/>
  <c r="R173" i="5"/>
  <c r="R157" i="5"/>
  <c r="AG157" i="5"/>
  <c r="S157" i="5"/>
  <c r="AG141" i="5"/>
  <c r="S141" i="5"/>
  <c r="R141" i="5"/>
  <c r="R125" i="5"/>
  <c r="S125" i="5"/>
  <c r="AG125" i="5"/>
  <c r="AG109" i="5"/>
  <c r="S109" i="5"/>
  <c r="R109" i="5"/>
  <c r="S93" i="5"/>
  <c r="R93" i="5"/>
  <c r="AG93" i="5"/>
  <c r="AG77" i="5"/>
  <c r="S77" i="5"/>
  <c r="R77" i="5"/>
  <c r="AG61" i="5"/>
  <c r="R61" i="5"/>
  <c r="S61" i="5"/>
  <c r="S264" i="5"/>
  <c r="AG264" i="5"/>
  <c r="R264" i="5"/>
  <c r="S248" i="5"/>
  <c r="AG248" i="5"/>
  <c r="R248" i="5"/>
  <c r="AG232" i="5"/>
  <c r="R232" i="5"/>
  <c r="S232" i="5"/>
  <c r="S216" i="5"/>
  <c r="R216" i="5"/>
  <c r="AG216" i="5"/>
  <c r="R200" i="5"/>
  <c r="S200" i="5"/>
  <c r="AG200" i="5"/>
  <c r="S184" i="5"/>
  <c r="R184" i="5"/>
  <c r="AG184" i="5"/>
  <c r="S168" i="5"/>
  <c r="R168" i="5"/>
  <c r="AG168" i="5"/>
  <c r="AG152" i="5"/>
  <c r="S152" i="5"/>
  <c r="R152" i="5"/>
  <c r="S136" i="5"/>
  <c r="R136" i="5"/>
  <c r="AG136" i="5"/>
  <c r="AG120" i="5"/>
  <c r="S120" i="5"/>
  <c r="R120" i="5"/>
  <c r="S104" i="5"/>
  <c r="R104" i="5"/>
  <c r="AG104" i="5"/>
  <c r="AG88" i="5"/>
  <c r="S88" i="5"/>
  <c r="R88" i="5"/>
  <c r="AG72" i="5"/>
  <c r="S72" i="5"/>
  <c r="R72" i="5"/>
  <c r="S259" i="5"/>
  <c r="AG259" i="5"/>
  <c r="R259" i="5"/>
  <c r="S243" i="5"/>
  <c r="AG243" i="5"/>
  <c r="R243" i="5"/>
  <c r="R227" i="5"/>
  <c r="AG227" i="5"/>
  <c r="S227" i="5"/>
  <c r="AG211" i="5"/>
  <c r="R211" i="5"/>
  <c r="S211" i="5"/>
  <c r="R195" i="5"/>
  <c r="AG195" i="5"/>
  <c r="S195" i="5"/>
  <c r="S179" i="5"/>
  <c r="R179" i="5"/>
  <c r="AG179" i="5"/>
  <c r="AG163" i="5"/>
  <c r="R163" i="5"/>
  <c r="S163" i="5"/>
  <c r="S147" i="5"/>
  <c r="R147" i="5"/>
  <c r="AG147" i="5"/>
  <c r="R131" i="5"/>
  <c r="AG131" i="5"/>
  <c r="S131" i="5"/>
  <c r="S115" i="5"/>
  <c r="R115" i="5"/>
  <c r="AG115" i="5"/>
  <c r="R99" i="5"/>
  <c r="AG99" i="5"/>
  <c r="S99" i="5"/>
  <c r="S83" i="5"/>
  <c r="R83" i="5"/>
  <c r="AG83" i="5"/>
  <c r="R67" i="5"/>
  <c r="S67" i="5"/>
  <c r="AG67" i="5"/>
  <c r="S250" i="5"/>
  <c r="AG250" i="5"/>
  <c r="R250" i="5"/>
  <c r="R234" i="5"/>
  <c r="AG234" i="5"/>
  <c r="S234" i="5"/>
  <c r="R218" i="5"/>
  <c r="AG218" i="5"/>
  <c r="S218" i="5"/>
  <c r="AG202" i="5"/>
  <c r="R202" i="5"/>
  <c r="S202" i="5"/>
  <c r="S186" i="5"/>
  <c r="R186" i="5"/>
  <c r="AG186" i="5"/>
  <c r="R170" i="5"/>
  <c r="AG170" i="5"/>
  <c r="S170" i="5"/>
  <c r="AG154" i="5"/>
  <c r="S154" i="5"/>
  <c r="R154" i="5"/>
  <c r="AG138" i="5"/>
  <c r="S138" i="5"/>
  <c r="R138" i="5"/>
  <c r="S122" i="5"/>
  <c r="R122" i="5"/>
  <c r="AG122" i="5"/>
  <c r="AG106" i="5"/>
  <c r="R106" i="5"/>
  <c r="S106" i="5"/>
  <c r="R90" i="5"/>
  <c r="AG90" i="5"/>
  <c r="S90" i="5"/>
  <c r="R74" i="5"/>
  <c r="AG74" i="5"/>
  <c r="S74" i="5"/>
  <c r="S58" i="5"/>
  <c r="R58" i="5"/>
  <c r="AG58" i="5"/>
  <c r="AG265" i="5"/>
  <c r="R265" i="5"/>
  <c r="S265" i="5"/>
  <c r="AG249" i="5"/>
  <c r="R249" i="5"/>
  <c r="S249" i="5"/>
  <c r="AG233" i="5"/>
  <c r="R233" i="5"/>
  <c r="S233" i="5"/>
  <c r="S217" i="5"/>
  <c r="AG217" i="5"/>
  <c r="R217" i="5"/>
  <c r="R201" i="5"/>
  <c r="AG201" i="5"/>
  <c r="S201" i="5"/>
  <c r="R185" i="5"/>
  <c r="AG185" i="5"/>
  <c r="S185" i="5"/>
  <c r="S169" i="5"/>
  <c r="AG169" i="5"/>
  <c r="R169" i="5"/>
  <c r="AG153" i="5"/>
  <c r="R153" i="5"/>
  <c r="S153" i="5"/>
  <c r="R137" i="5"/>
  <c r="S137" i="5"/>
  <c r="AG137" i="5"/>
  <c r="S121" i="5"/>
  <c r="AG121" i="5"/>
  <c r="R121" i="5"/>
  <c r="AG105" i="5"/>
  <c r="R105" i="5"/>
  <c r="S105" i="5"/>
  <c r="AG89" i="5"/>
  <c r="S89" i="5"/>
  <c r="R89" i="5"/>
  <c r="S73" i="5"/>
  <c r="R73" i="5"/>
  <c r="AG73" i="5"/>
  <c r="AG260" i="5"/>
  <c r="R260" i="5"/>
  <c r="S260" i="5"/>
  <c r="S244" i="5"/>
  <c r="AG244" i="5"/>
  <c r="R244" i="5"/>
  <c r="S228" i="5"/>
  <c r="R228" i="5"/>
  <c r="AG228" i="5"/>
  <c r="R212" i="5"/>
  <c r="AG212" i="5"/>
  <c r="S212" i="5"/>
  <c r="R196" i="5"/>
  <c r="AG196" i="5"/>
  <c r="S196" i="5"/>
  <c r="AG180" i="5"/>
  <c r="R180" i="5"/>
  <c r="S180" i="5"/>
  <c r="R164" i="5"/>
  <c r="S164" i="5"/>
  <c r="AG164" i="5"/>
  <c r="AG148" i="5"/>
  <c r="R148" i="5"/>
  <c r="S148" i="5"/>
  <c r="AG132" i="5"/>
  <c r="R132" i="5"/>
  <c r="S132" i="5"/>
  <c r="S116" i="5"/>
  <c r="AG116" i="5"/>
  <c r="R116" i="5"/>
  <c r="R100" i="5"/>
  <c r="S100" i="5"/>
  <c r="AG100" i="5"/>
  <c r="R84" i="5"/>
  <c r="S84" i="5"/>
  <c r="AG84" i="5"/>
  <c r="R68" i="5"/>
  <c r="AG68" i="5"/>
  <c r="S68" i="5"/>
  <c r="AG52" i="5"/>
  <c r="S52" i="5"/>
  <c r="G34" i="6"/>
  <c r="F34" i="6"/>
  <c r="S50" i="5"/>
  <c r="AG50" i="5"/>
  <c r="F68" i="12" l="1"/>
  <c r="G68" i="6"/>
  <c r="F84" i="12"/>
  <c r="G84" i="6"/>
  <c r="E100" i="12"/>
  <c r="F100" i="6"/>
  <c r="AC100" i="5"/>
  <c r="F132" i="12"/>
  <c r="G132" i="6"/>
  <c r="E148" i="12"/>
  <c r="AC148" i="5"/>
  <c r="F148" i="6"/>
  <c r="AC164" i="5"/>
  <c r="E164" i="12"/>
  <c r="F164" i="6"/>
  <c r="F196" i="12"/>
  <c r="G196" i="6"/>
  <c r="F228" i="12"/>
  <c r="G228" i="6"/>
  <c r="F260" i="12"/>
  <c r="G260" i="6"/>
  <c r="F73" i="12"/>
  <c r="G73" i="6"/>
  <c r="G105" i="6"/>
  <c r="F105" i="12"/>
  <c r="F137" i="6"/>
  <c r="E137" i="12"/>
  <c r="AC137" i="5"/>
  <c r="E169" i="12"/>
  <c r="F169" i="6"/>
  <c r="AC169" i="5"/>
  <c r="F201" i="6"/>
  <c r="E201" i="12"/>
  <c r="AC201" i="5"/>
  <c r="F233" i="12"/>
  <c r="G233" i="6"/>
  <c r="F249" i="6"/>
  <c r="E249" i="12"/>
  <c r="AC249" i="5"/>
  <c r="F74" i="12"/>
  <c r="G74" i="6"/>
  <c r="E138" i="12"/>
  <c r="F138" i="6"/>
  <c r="AC138" i="5"/>
  <c r="F154" i="12"/>
  <c r="G154" i="6"/>
  <c r="AC170" i="5"/>
  <c r="E170" i="12"/>
  <c r="F170" i="6"/>
  <c r="F202" i="12"/>
  <c r="G202" i="6"/>
  <c r="AC234" i="5"/>
  <c r="E234" i="12"/>
  <c r="F234" i="6"/>
  <c r="F67" i="12"/>
  <c r="G67" i="6"/>
  <c r="F83" i="12"/>
  <c r="G83" i="6"/>
  <c r="F147" i="12"/>
  <c r="G147" i="6"/>
  <c r="F243" i="6"/>
  <c r="E243" i="12"/>
  <c r="AC243" i="5"/>
  <c r="E88" i="12"/>
  <c r="F88" i="6"/>
  <c r="AC88" i="5"/>
  <c r="AC104" i="5"/>
  <c r="E104" i="12"/>
  <c r="F104" i="6"/>
  <c r="F152" i="6"/>
  <c r="AC152" i="5"/>
  <c r="E152" i="12"/>
  <c r="AC168" i="5"/>
  <c r="F168" i="6"/>
  <c r="E168" i="12"/>
  <c r="F184" i="12"/>
  <c r="G184" i="6"/>
  <c r="AC232" i="5"/>
  <c r="F232" i="6"/>
  <c r="E232" i="12"/>
  <c r="G248" i="6"/>
  <c r="F248" i="12"/>
  <c r="G61" i="6"/>
  <c r="F61" i="12"/>
  <c r="F77" i="12"/>
  <c r="G77" i="6"/>
  <c r="F93" i="12"/>
  <c r="G93" i="6"/>
  <c r="G141" i="6"/>
  <c r="F141" i="12"/>
  <c r="E157" i="12"/>
  <c r="AC157" i="5"/>
  <c r="F157" i="6"/>
  <c r="F189" i="12"/>
  <c r="G189" i="6"/>
  <c r="G205" i="6"/>
  <c r="F205" i="12"/>
  <c r="F221" i="6"/>
  <c r="E221" i="12"/>
  <c r="AC221" i="5"/>
  <c r="F253" i="6"/>
  <c r="E253" i="12"/>
  <c r="AC253" i="5"/>
  <c r="E78" i="12"/>
  <c r="F78" i="6"/>
  <c r="AC78" i="5"/>
  <c r="E94" i="12"/>
  <c r="AC94" i="5"/>
  <c r="F94" i="6"/>
  <c r="F158" i="12"/>
  <c r="G158" i="6"/>
  <c r="E174" i="12"/>
  <c r="F174" i="6"/>
  <c r="AC174" i="5"/>
  <c r="F87" i="12"/>
  <c r="G87" i="6"/>
  <c r="F119" i="12"/>
  <c r="G119" i="6"/>
  <c r="F183" i="6"/>
  <c r="AC183" i="5"/>
  <c r="E183" i="12"/>
  <c r="AC247" i="5"/>
  <c r="F247" i="6"/>
  <c r="E247" i="12"/>
  <c r="F263" i="6"/>
  <c r="AC263" i="5"/>
  <c r="E263" i="12"/>
  <c r="F108" i="6"/>
  <c r="AC108" i="5"/>
  <c r="E108" i="12"/>
  <c r="E124" i="12"/>
  <c r="AC124" i="5"/>
  <c r="F124" i="6"/>
  <c r="F156" i="12"/>
  <c r="G156" i="6"/>
  <c r="F172" i="12"/>
  <c r="G172" i="6"/>
  <c r="F220" i="12"/>
  <c r="G220" i="6"/>
  <c r="AC236" i="5"/>
  <c r="E236" i="12"/>
  <c r="F236" i="6"/>
  <c r="G129" i="6"/>
  <c r="F129" i="12"/>
  <c r="F145" i="12"/>
  <c r="G145" i="6"/>
  <c r="G161" i="6"/>
  <c r="F161" i="12"/>
  <c r="F193" i="12"/>
  <c r="G193" i="6"/>
  <c r="F209" i="12"/>
  <c r="G209" i="6"/>
  <c r="E225" i="12"/>
  <c r="F225" i="6"/>
  <c r="AC225" i="5"/>
  <c r="AC257" i="5"/>
  <c r="E257" i="12"/>
  <c r="F257" i="6"/>
  <c r="AC98" i="5"/>
  <c r="F98" i="6"/>
  <c r="E98" i="12"/>
  <c r="E114" i="12"/>
  <c r="F114" i="6"/>
  <c r="AC114" i="5"/>
  <c r="F130" i="12"/>
  <c r="G130" i="6"/>
  <c r="E162" i="12"/>
  <c r="AC162" i="5"/>
  <c r="F162" i="6"/>
  <c r="F178" i="6"/>
  <c r="AC178" i="5"/>
  <c r="E178" i="12"/>
  <c r="AC242" i="5"/>
  <c r="F242" i="6"/>
  <c r="E242" i="12"/>
  <c r="F91" i="6"/>
  <c r="E91" i="12"/>
  <c r="AC91" i="5"/>
  <c r="E107" i="12"/>
  <c r="F107" i="6"/>
  <c r="AC107" i="5"/>
  <c r="F139" i="12"/>
  <c r="G139" i="6"/>
  <c r="AC155" i="5"/>
  <c r="E155" i="12"/>
  <c r="F155" i="6"/>
  <c r="G171" i="6"/>
  <c r="F171" i="12"/>
  <c r="F203" i="12"/>
  <c r="G203" i="6"/>
  <c r="F219" i="6"/>
  <c r="AC219" i="5"/>
  <c r="E219" i="12"/>
  <c r="AC235" i="5"/>
  <c r="E235" i="12"/>
  <c r="F235" i="6"/>
  <c r="F64" i="6"/>
  <c r="AC64" i="5"/>
  <c r="E64" i="12"/>
  <c r="F80" i="12"/>
  <c r="G80" i="6"/>
  <c r="E96" i="12"/>
  <c r="F96" i="6"/>
  <c r="AC96" i="5"/>
  <c r="AC128" i="5"/>
  <c r="E128" i="12"/>
  <c r="F128" i="6"/>
  <c r="F144" i="12"/>
  <c r="G144" i="6"/>
  <c r="F160" i="6"/>
  <c r="AC160" i="5"/>
  <c r="E160" i="12"/>
  <c r="F192" i="12"/>
  <c r="G192" i="6"/>
  <c r="F208" i="12"/>
  <c r="G208" i="6"/>
  <c r="G224" i="6"/>
  <c r="F224" i="12"/>
  <c r="G69" i="6"/>
  <c r="F69" i="12"/>
  <c r="AC117" i="5"/>
  <c r="E117" i="12"/>
  <c r="F117" i="6"/>
  <c r="F133" i="12"/>
  <c r="G133" i="6"/>
  <c r="F181" i="12"/>
  <c r="G181" i="6"/>
  <c r="AC197" i="5"/>
  <c r="E197" i="12"/>
  <c r="F197" i="6"/>
  <c r="F229" i="12"/>
  <c r="G229" i="6"/>
  <c r="AC245" i="5"/>
  <c r="E245" i="12"/>
  <c r="F245" i="6"/>
  <c r="G261" i="6"/>
  <c r="F261" i="12"/>
  <c r="E70" i="12"/>
  <c r="AC70" i="5"/>
  <c r="F70" i="6"/>
  <c r="F86" i="12"/>
  <c r="G86" i="6"/>
  <c r="F102" i="6"/>
  <c r="AC102" i="5"/>
  <c r="E102" i="12"/>
  <c r="E214" i="12"/>
  <c r="AC214" i="5"/>
  <c r="F214" i="6"/>
  <c r="F230" i="12"/>
  <c r="G230" i="6"/>
  <c r="E63" i="12"/>
  <c r="F63" i="6"/>
  <c r="AC63" i="5"/>
  <c r="F111" i="12"/>
  <c r="G111" i="6"/>
  <c r="F143" i="6"/>
  <c r="E143" i="12"/>
  <c r="AC143" i="5"/>
  <c r="F191" i="12"/>
  <c r="G191" i="6"/>
  <c r="E255" i="12"/>
  <c r="F255" i="6"/>
  <c r="AC255" i="5"/>
  <c r="E52" i="12"/>
  <c r="F52" i="6"/>
  <c r="AC84" i="5"/>
  <c r="E84" i="12"/>
  <c r="F84" i="6"/>
  <c r="AC212" i="5"/>
  <c r="F212" i="6"/>
  <c r="E212" i="12"/>
  <c r="E244" i="12"/>
  <c r="AC244" i="5"/>
  <c r="F244" i="6"/>
  <c r="F260" i="6"/>
  <c r="AC260" i="5"/>
  <c r="E260" i="12"/>
  <c r="F89" i="6"/>
  <c r="AC89" i="5"/>
  <c r="E89" i="12"/>
  <c r="F105" i="6"/>
  <c r="AC105" i="5"/>
  <c r="E105" i="12"/>
  <c r="F121" i="12"/>
  <c r="G121" i="6"/>
  <c r="G153" i="6"/>
  <c r="F153" i="12"/>
  <c r="F185" i="6"/>
  <c r="E185" i="12"/>
  <c r="AC185" i="5"/>
  <c r="F217" i="6"/>
  <c r="AC217" i="5"/>
  <c r="E217" i="12"/>
  <c r="F233" i="6"/>
  <c r="AC233" i="5"/>
  <c r="E233" i="12"/>
  <c r="F90" i="6"/>
  <c r="E90" i="12"/>
  <c r="AC90" i="5"/>
  <c r="F138" i="12"/>
  <c r="G138" i="6"/>
  <c r="F202" i="6"/>
  <c r="E202" i="12"/>
  <c r="AC202" i="5"/>
  <c r="AC218" i="5"/>
  <c r="F218" i="6"/>
  <c r="E218" i="12"/>
  <c r="E250" i="12"/>
  <c r="F250" i="6"/>
  <c r="AC250" i="5"/>
  <c r="AC67" i="5"/>
  <c r="F67" i="6"/>
  <c r="E67" i="12"/>
  <c r="F99" i="12"/>
  <c r="G99" i="6"/>
  <c r="E115" i="12"/>
  <c r="AC115" i="5"/>
  <c r="F115" i="6"/>
  <c r="F131" i="6"/>
  <c r="E131" i="12"/>
  <c r="AC131" i="5"/>
  <c r="F163" i="12"/>
  <c r="G163" i="6"/>
  <c r="F179" i="6"/>
  <c r="AC179" i="5"/>
  <c r="E179" i="12"/>
  <c r="E195" i="12"/>
  <c r="AC195" i="5"/>
  <c r="F195" i="6"/>
  <c r="G227" i="6"/>
  <c r="F227" i="12"/>
  <c r="F259" i="12"/>
  <c r="G259" i="6"/>
  <c r="E72" i="12"/>
  <c r="AC72" i="5"/>
  <c r="F72" i="6"/>
  <c r="F88" i="12"/>
  <c r="G88" i="6"/>
  <c r="G104" i="6"/>
  <c r="F104" i="12"/>
  <c r="F152" i="12"/>
  <c r="G152" i="6"/>
  <c r="F168" i="12"/>
  <c r="G168" i="6"/>
  <c r="F216" i="6"/>
  <c r="E216" i="12"/>
  <c r="AC216" i="5"/>
  <c r="F264" i="6"/>
  <c r="E264" i="12"/>
  <c r="AC264" i="5"/>
  <c r="F61" i="6"/>
  <c r="E61" i="12"/>
  <c r="AC61" i="5"/>
  <c r="F109" i="6"/>
  <c r="AC109" i="5"/>
  <c r="E109" i="12"/>
  <c r="F125" i="12"/>
  <c r="G125" i="6"/>
  <c r="E173" i="12"/>
  <c r="AC173" i="5"/>
  <c r="F173" i="6"/>
  <c r="AC189" i="5"/>
  <c r="F189" i="6"/>
  <c r="E189" i="12"/>
  <c r="F237" i="12"/>
  <c r="G237" i="6"/>
  <c r="F62" i="12"/>
  <c r="G62" i="6"/>
  <c r="F78" i="12"/>
  <c r="G78" i="6"/>
  <c r="AC142" i="5"/>
  <c r="E142" i="12"/>
  <c r="F142" i="6"/>
  <c r="E206" i="12"/>
  <c r="AC206" i="5"/>
  <c r="F206" i="6"/>
  <c r="E222" i="12"/>
  <c r="AC222" i="5"/>
  <c r="F222" i="6"/>
  <c r="F254" i="6"/>
  <c r="AC254" i="5"/>
  <c r="E254" i="12"/>
  <c r="F71" i="6"/>
  <c r="E71" i="12"/>
  <c r="AC71" i="5"/>
  <c r="F103" i="6"/>
  <c r="E103" i="12"/>
  <c r="AC103" i="5"/>
  <c r="E119" i="12"/>
  <c r="F119" i="6"/>
  <c r="AC119" i="5"/>
  <c r="G135" i="6"/>
  <c r="F135" i="12"/>
  <c r="F183" i="12"/>
  <c r="G183" i="6"/>
  <c r="F199" i="12"/>
  <c r="G199" i="6"/>
  <c r="F231" i="12"/>
  <c r="G231" i="6"/>
  <c r="F247" i="12"/>
  <c r="G247" i="6"/>
  <c r="AC76" i="5"/>
  <c r="F76" i="6"/>
  <c r="E76" i="12"/>
  <c r="E92" i="12"/>
  <c r="F92" i="6"/>
  <c r="AC92" i="5"/>
  <c r="AC156" i="5"/>
  <c r="E156" i="12"/>
  <c r="F156" i="6"/>
  <c r="E204" i="12"/>
  <c r="F204" i="6"/>
  <c r="AC204" i="5"/>
  <c r="F236" i="12"/>
  <c r="G236" i="6"/>
  <c r="G65" i="6"/>
  <c r="F65" i="12"/>
  <c r="E81" i="12"/>
  <c r="AC81" i="5"/>
  <c r="F81" i="6"/>
  <c r="F113" i="6"/>
  <c r="AC113" i="5"/>
  <c r="E113" i="12"/>
  <c r="E129" i="12"/>
  <c r="F129" i="6"/>
  <c r="AC129" i="5"/>
  <c r="F241" i="6"/>
  <c r="AC241" i="5"/>
  <c r="E241" i="12"/>
  <c r="AC50" i="5"/>
  <c r="F50" i="6"/>
  <c r="E50" i="12"/>
  <c r="F114" i="12"/>
  <c r="G114" i="6"/>
  <c r="G146" i="6"/>
  <c r="F146" i="12"/>
  <c r="F226" i="6"/>
  <c r="E226" i="12"/>
  <c r="AC226" i="5"/>
  <c r="F242" i="12"/>
  <c r="G242" i="6"/>
  <c r="AC59" i="5"/>
  <c r="F59" i="6"/>
  <c r="E59" i="12"/>
  <c r="F75" i="6"/>
  <c r="E75" i="12"/>
  <c r="AC75" i="5"/>
  <c r="G91" i="6"/>
  <c r="F91" i="12"/>
  <c r="F187" i="12"/>
  <c r="G187" i="6"/>
  <c r="F219" i="12"/>
  <c r="G219" i="6"/>
  <c r="F251" i="12"/>
  <c r="G251" i="6"/>
  <c r="E80" i="12"/>
  <c r="AC80" i="5"/>
  <c r="F80" i="6"/>
  <c r="F112" i="12"/>
  <c r="G112" i="6"/>
  <c r="F128" i="12"/>
  <c r="G128" i="6"/>
  <c r="E144" i="12"/>
  <c r="F144" i="6"/>
  <c r="AC144" i="5"/>
  <c r="F176" i="12"/>
  <c r="G176" i="6"/>
  <c r="F192" i="6"/>
  <c r="E192" i="12"/>
  <c r="AC192" i="5"/>
  <c r="F240" i="12"/>
  <c r="G240" i="6"/>
  <c r="AC256" i="5"/>
  <c r="F256" i="6"/>
  <c r="E256" i="12"/>
  <c r="F85" i="12"/>
  <c r="G85" i="6"/>
  <c r="E101" i="12"/>
  <c r="F101" i="6"/>
  <c r="AC101" i="5"/>
  <c r="G149" i="6"/>
  <c r="F149" i="12"/>
  <c r="AC165" i="5"/>
  <c r="F165" i="6"/>
  <c r="E165" i="12"/>
  <c r="F245" i="12"/>
  <c r="G245" i="6"/>
  <c r="G70" i="6"/>
  <c r="F70" i="12"/>
  <c r="F86" i="6"/>
  <c r="E86" i="12"/>
  <c r="AC86" i="5"/>
  <c r="E118" i="12"/>
  <c r="F118" i="6"/>
  <c r="AC118" i="5"/>
  <c r="F134" i="12"/>
  <c r="G134" i="6"/>
  <c r="F150" i="12"/>
  <c r="G150" i="6"/>
  <c r="F198" i="12"/>
  <c r="G198" i="6"/>
  <c r="F214" i="12"/>
  <c r="G214" i="6"/>
  <c r="E246" i="12"/>
  <c r="F246" i="6"/>
  <c r="AC246" i="5"/>
  <c r="F262" i="6"/>
  <c r="E262" i="12"/>
  <c r="AC262" i="5"/>
  <c r="F63" i="12"/>
  <c r="G63" i="6"/>
  <c r="F95" i="12"/>
  <c r="G95" i="6"/>
  <c r="E111" i="12"/>
  <c r="AC111" i="5"/>
  <c r="F111" i="6"/>
  <c r="F127" i="12"/>
  <c r="G127" i="6"/>
  <c r="E159" i="12"/>
  <c r="F159" i="6"/>
  <c r="AC159" i="5"/>
  <c r="F175" i="12"/>
  <c r="G175" i="6"/>
  <c r="F239" i="12"/>
  <c r="G239" i="6"/>
  <c r="F255" i="12"/>
  <c r="G255" i="6"/>
  <c r="AC116" i="5"/>
  <c r="F116" i="6"/>
  <c r="E116" i="12"/>
  <c r="F132" i="6"/>
  <c r="E132" i="12"/>
  <c r="AC132" i="5"/>
  <c r="G180" i="6"/>
  <c r="F180" i="12"/>
  <c r="F52" i="12"/>
  <c r="G52" i="6"/>
  <c r="E68" i="12"/>
  <c r="F68" i="6"/>
  <c r="AC68" i="5"/>
  <c r="F180" i="6"/>
  <c r="E180" i="12"/>
  <c r="AC180" i="5"/>
  <c r="F196" i="6"/>
  <c r="E196" i="12"/>
  <c r="AC196" i="5"/>
  <c r="F89" i="12"/>
  <c r="G89" i="6"/>
  <c r="E153" i="12"/>
  <c r="F153" i="6"/>
  <c r="AC153" i="5"/>
  <c r="G169" i="6"/>
  <c r="F169" i="12"/>
  <c r="F201" i="12"/>
  <c r="G201" i="6"/>
  <c r="F265" i="12"/>
  <c r="G265" i="6"/>
  <c r="AC58" i="5"/>
  <c r="E58" i="12"/>
  <c r="F58" i="6"/>
  <c r="AC74" i="5"/>
  <c r="F74" i="6"/>
  <c r="E74" i="12"/>
  <c r="G106" i="6"/>
  <c r="F106" i="12"/>
  <c r="E122" i="12"/>
  <c r="F122" i="6"/>
  <c r="AC122" i="5"/>
  <c r="F170" i="12"/>
  <c r="G170" i="6"/>
  <c r="AC186" i="5"/>
  <c r="F186" i="6"/>
  <c r="E186" i="12"/>
  <c r="G234" i="6"/>
  <c r="F234" i="12"/>
  <c r="F115" i="12"/>
  <c r="G115" i="6"/>
  <c r="F163" i="6"/>
  <c r="AC163" i="5"/>
  <c r="E163" i="12"/>
  <c r="F179" i="12"/>
  <c r="G179" i="6"/>
  <c r="F211" i="12"/>
  <c r="G211" i="6"/>
  <c r="F243" i="12"/>
  <c r="G243" i="6"/>
  <c r="F72" i="12"/>
  <c r="G72" i="6"/>
  <c r="E120" i="12"/>
  <c r="F120" i="6"/>
  <c r="AC120" i="5"/>
  <c r="E136" i="12"/>
  <c r="F136" i="6"/>
  <c r="AC136" i="5"/>
  <c r="G200" i="6"/>
  <c r="F200" i="12"/>
  <c r="F216" i="12"/>
  <c r="G216" i="6"/>
  <c r="F248" i="6"/>
  <c r="E248" i="12"/>
  <c r="AC248" i="5"/>
  <c r="F109" i="12"/>
  <c r="G109" i="6"/>
  <c r="F125" i="6"/>
  <c r="E125" i="12"/>
  <c r="AC125" i="5"/>
  <c r="G157" i="6"/>
  <c r="F157" i="12"/>
  <c r="F173" i="12"/>
  <c r="G173" i="6"/>
  <c r="F221" i="12"/>
  <c r="G221" i="6"/>
  <c r="F237" i="6"/>
  <c r="E237" i="12"/>
  <c r="AC237" i="5"/>
  <c r="G253" i="6"/>
  <c r="F253" i="12"/>
  <c r="E62" i="12"/>
  <c r="AC62" i="5"/>
  <c r="F62" i="6"/>
  <c r="F110" i="12"/>
  <c r="G110" i="6"/>
  <c r="F126" i="6"/>
  <c r="AC126" i="5"/>
  <c r="E126" i="12"/>
  <c r="G142" i="6"/>
  <c r="F142" i="12"/>
  <c r="F174" i="12"/>
  <c r="G174" i="6"/>
  <c r="E190" i="12"/>
  <c r="F190" i="6"/>
  <c r="AC190" i="5"/>
  <c r="F206" i="12"/>
  <c r="G206" i="6"/>
  <c r="F238" i="6"/>
  <c r="AC238" i="5"/>
  <c r="E238" i="12"/>
  <c r="AC87" i="5"/>
  <c r="F87" i="6"/>
  <c r="E87" i="12"/>
  <c r="E151" i="12"/>
  <c r="AC151" i="5"/>
  <c r="F151" i="6"/>
  <c r="F167" i="6"/>
  <c r="AC167" i="5"/>
  <c r="E167" i="12"/>
  <c r="E215" i="12"/>
  <c r="F215" i="6"/>
  <c r="AC215" i="5"/>
  <c r="G60" i="6"/>
  <c r="F60" i="12"/>
  <c r="F92" i="12"/>
  <c r="G92" i="6"/>
  <c r="F124" i="12"/>
  <c r="G124" i="6"/>
  <c r="G140" i="6"/>
  <c r="F140" i="12"/>
  <c r="F188" i="6"/>
  <c r="E188" i="12"/>
  <c r="AC188" i="5"/>
  <c r="F204" i="12"/>
  <c r="G204" i="6"/>
  <c r="E220" i="12"/>
  <c r="F220" i="6"/>
  <c r="AC220" i="5"/>
  <c r="AC252" i="5"/>
  <c r="F252" i="6"/>
  <c r="E252" i="12"/>
  <c r="E65" i="12"/>
  <c r="F65" i="6"/>
  <c r="AC65" i="5"/>
  <c r="AC97" i="5"/>
  <c r="E97" i="12"/>
  <c r="F97" i="6"/>
  <c r="F161" i="6"/>
  <c r="E161" i="12"/>
  <c r="AC161" i="5"/>
  <c r="F177" i="12"/>
  <c r="G177" i="6"/>
  <c r="F193" i="6"/>
  <c r="AC193" i="5"/>
  <c r="E193" i="12"/>
  <c r="F225" i="12"/>
  <c r="G225" i="6"/>
  <c r="G257" i="6"/>
  <c r="F257" i="12"/>
  <c r="F66" i="12"/>
  <c r="G66" i="6"/>
  <c r="F82" i="12"/>
  <c r="G82" i="6"/>
  <c r="F98" i="12"/>
  <c r="G98" i="6"/>
  <c r="F162" i="12"/>
  <c r="G162" i="6"/>
  <c r="F194" i="6"/>
  <c r="E194" i="12"/>
  <c r="AC194" i="5"/>
  <c r="F210" i="6"/>
  <c r="E210" i="12"/>
  <c r="AC210" i="5"/>
  <c r="F226" i="12"/>
  <c r="G226" i="6"/>
  <c r="G258" i="6"/>
  <c r="F258" i="12"/>
  <c r="F59" i="12"/>
  <c r="G59" i="6"/>
  <c r="F75" i="12"/>
  <c r="G75" i="6"/>
  <c r="F107" i="12"/>
  <c r="G107" i="6"/>
  <c r="F123" i="12"/>
  <c r="G123" i="6"/>
  <c r="F139" i="6"/>
  <c r="AC139" i="5"/>
  <c r="E139" i="12"/>
  <c r="AC171" i="5"/>
  <c r="F171" i="6"/>
  <c r="E171" i="12"/>
  <c r="AC187" i="5"/>
  <c r="E187" i="12"/>
  <c r="F187" i="6"/>
  <c r="AC203" i="5"/>
  <c r="F203" i="6"/>
  <c r="E203" i="12"/>
  <c r="E251" i="12"/>
  <c r="F251" i="6"/>
  <c r="AC251" i="5"/>
  <c r="F64" i="12"/>
  <c r="G64" i="6"/>
  <c r="F160" i="12"/>
  <c r="G160" i="6"/>
  <c r="AC224" i="5"/>
  <c r="F224" i="6"/>
  <c r="E224" i="12"/>
  <c r="G256" i="6"/>
  <c r="F256" i="12"/>
  <c r="F101" i="12"/>
  <c r="G101" i="6"/>
  <c r="F149" i="6"/>
  <c r="E149" i="12"/>
  <c r="AC149" i="5"/>
  <c r="F165" i="12"/>
  <c r="G165" i="6"/>
  <c r="F213" i="6"/>
  <c r="E213" i="12"/>
  <c r="AC213" i="5"/>
  <c r="E229" i="12"/>
  <c r="AC229" i="5"/>
  <c r="F229" i="6"/>
  <c r="F261" i="6"/>
  <c r="E261" i="12"/>
  <c r="AC261" i="5"/>
  <c r="F102" i="12"/>
  <c r="G102" i="6"/>
  <c r="F134" i="6"/>
  <c r="E134" i="12"/>
  <c r="AC134" i="5"/>
  <c r="AC166" i="5"/>
  <c r="E166" i="12"/>
  <c r="F166" i="6"/>
  <c r="F182" i="12"/>
  <c r="G182" i="6"/>
  <c r="F198" i="6"/>
  <c r="E198" i="12"/>
  <c r="AC198" i="5"/>
  <c r="E230" i="12"/>
  <c r="F230" i="6"/>
  <c r="AC230" i="5"/>
  <c r="F246" i="12"/>
  <c r="G246" i="6"/>
  <c r="G262" i="6"/>
  <c r="F262" i="12"/>
  <c r="F79" i="6"/>
  <c r="E79" i="12"/>
  <c r="AC79" i="5"/>
  <c r="AC175" i="5"/>
  <c r="E175" i="12"/>
  <c r="F175" i="6"/>
  <c r="AC207" i="5"/>
  <c r="F207" i="6"/>
  <c r="E207" i="12"/>
  <c r="F223" i="12"/>
  <c r="G223" i="6"/>
  <c r="F239" i="6"/>
  <c r="E239" i="12"/>
  <c r="AC239" i="5"/>
  <c r="F100" i="12"/>
  <c r="G100" i="6"/>
  <c r="F116" i="12"/>
  <c r="G116" i="6"/>
  <c r="F148" i="12"/>
  <c r="G148" i="6"/>
  <c r="F164" i="12"/>
  <c r="G164" i="6"/>
  <c r="F212" i="12"/>
  <c r="G212" i="6"/>
  <c r="E228" i="12"/>
  <c r="AC228" i="5"/>
  <c r="F228" i="6"/>
  <c r="G244" i="6"/>
  <c r="F244" i="12"/>
  <c r="AC73" i="5"/>
  <c r="E73" i="12"/>
  <c r="F73" i="6"/>
  <c r="E121" i="12"/>
  <c r="AC121" i="5"/>
  <c r="F121" i="6"/>
  <c r="G137" i="6"/>
  <c r="F137" i="12"/>
  <c r="F185" i="12"/>
  <c r="G185" i="6"/>
  <c r="F217" i="12"/>
  <c r="G217" i="6"/>
  <c r="G249" i="6"/>
  <c r="F249" i="12"/>
  <c r="E265" i="12"/>
  <c r="F265" i="6"/>
  <c r="AC265" i="5"/>
  <c r="F58" i="12"/>
  <c r="G58" i="6"/>
  <c r="F90" i="12"/>
  <c r="G90" i="6"/>
  <c r="E106" i="12"/>
  <c r="F106" i="6"/>
  <c r="AC106" i="5"/>
  <c r="F122" i="12"/>
  <c r="G122" i="6"/>
  <c r="E154" i="12"/>
  <c r="F154" i="6"/>
  <c r="AC154" i="5"/>
  <c r="G186" i="6"/>
  <c r="F186" i="12"/>
  <c r="F218" i="12"/>
  <c r="G218" i="6"/>
  <c r="G250" i="6"/>
  <c r="F250" i="12"/>
  <c r="E83" i="12"/>
  <c r="AC83" i="5"/>
  <c r="F83" i="6"/>
  <c r="E99" i="12"/>
  <c r="AC99" i="5"/>
  <c r="F99" i="6"/>
  <c r="G131" i="6"/>
  <c r="F131" i="12"/>
  <c r="E147" i="12"/>
  <c r="AC147" i="5"/>
  <c r="F147" i="6"/>
  <c r="F195" i="12"/>
  <c r="G195" i="6"/>
  <c r="E211" i="12"/>
  <c r="AC211" i="5"/>
  <c r="F211" i="6"/>
  <c r="F227" i="6"/>
  <c r="AC227" i="5"/>
  <c r="E227" i="12"/>
  <c r="AC259" i="5"/>
  <c r="E259" i="12"/>
  <c r="F259" i="6"/>
  <c r="F120" i="12"/>
  <c r="G120" i="6"/>
  <c r="F136" i="12"/>
  <c r="G136" i="6"/>
  <c r="F184" i="6"/>
  <c r="E184" i="12"/>
  <c r="AC184" i="5"/>
  <c r="F200" i="6"/>
  <c r="AC200" i="5"/>
  <c r="E200" i="12"/>
  <c r="F232" i="12"/>
  <c r="G232" i="6"/>
  <c r="G264" i="6"/>
  <c r="F264" i="12"/>
  <c r="F77" i="6"/>
  <c r="AC77" i="5"/>
  <c r="E77" i="12"/>
  <c r="AC93" i="5"/>
  <c r="F93" i="6"/>
  <c r="E93" i="12"/>
  <c r="E141" i="12"/>
  <c r="F141" i="6"/>
  <c r="AC141" i="5"/>
  <c r="AC205" i="5"/>
  <c r="E205" i="12"/>
  <c r="F205" i="6"/>
  <c r="F94" i="12"/>
  <c r="G94" i="6"/>
  <c r="E110" i="12"/>
  <c r="AC110" i="5"/>
  <c r="F110" i="6"/>
  <c r="G126" i="6"/>
  <c r="F126" i="12"/>
  <c r="F158" i="6"/>
  <c r="E158" i="12"/>
  <c r="AC158" i="5"/>
  <c r="G190" i="6"/>
  <c r="F190" i="12"/>
  <c r="F222" i="12"/>
  <c r="G222" i="6"/>
  <c r="F238" i="12"/>
  <c r="G238" i="6"/>
  <c r="G254" i="6"/>
  <c r="F254" i="12"/>
  <c r="G71" i="6"/>
  <c r="F71" i="12"/>
  <c r="F103" i="12"/>
  <c r="G103" i="6"/>
  <c r="AC135" i="5"/>
  <c r="F135" i="6"/>
  <c r="E135" i="12"/>
  <c r="G151" i="6"/>
  <c r="F151" i="12"/>
  <c r="F167" i="12"/>
  <c r="G167" i="6"/>
  <c r="F199" i="6"/>
  <c r="AC199" i="5"/>
  <c r="E199" i="12"/>
  <c r="F215" i="12"/>
  <c r="G215" i="6"/>
  <c r="AC231" i="5"/>
  <c r="E231" i="12"/>
  <c r="F231" i="6"/>
  <c r="G263" i="6"/>
  <c r="F263" i="12"/>
  <c r="E60" i="12"/>
  <c r="F60" i="6"/>
  <c r="AC60" i="5"/>
  <c r="F76" i="12"/>
  <c r="G76" i="6"/>
  <c r="F108" i="12"/>
  <c r="G108" i="6"/>
  <c r="E140" i="12"/>
  <c r="F140" i="6"/>
  <c r="AC140" i="5"/>
  <c r="AC172" i="5"/>
  <c r="F172" i="6"/>
  <c r="E172" i="12"/>
  <c r="G188" i="6"/>
  <c r="F188" i="12"/>
  <c r="F252" i="12"/>
  <c r="G252" i="6"/>
  <c r="F81" i="12"/>
  <c r="G81" i="6"/>
  <c r="F97" i="12"/>
  <c r="G97" i="6"/>
  <c r="F113" i="12"/>
  <c r="G113" i="6"/>
  <c r="AC145" i="5"/>
  <c r="E145" i="12"/>
  <c r="F145" i="6"/>
  <c r="E177" i="12"/>
  <c r="F177" i="6"/>
  <c r="AC177" i="5"/>
  <c r="E209" i="12"/>
  <c r="F209" i="6"/>
  <c r="AC209" i="5"/>
  <c r="F241" i="12"/>
  <c r="G241" i="6"/>
  <c r="F50" i="12"/>
  <c r="G50" i="6"/>
  <c r="E66" i="12"/>
  <c r="F66" i="6"/>
  <c r="AC66" i="5"/>
  <c r="E82" i="12"/>
  <c r="F82" i="6"/>
  <c r="AC82" i="5"/>
  <c r="E130" i="12"/>
  <c r="AC130" i="5"/>
  <c r="F130" i="6"/>
  <c r="E146" i="12"/>
  <c r="F146" i="6"/>
  <c r="AC146" i="5"/>
  <c r="G178" i="6"/>
  <c r="F178" i="12"/>
  <c r="F194" i="12"/>
  <c r="G194" i="6"/>
  <c r="F210" i="12"/>
  <c r="G210" i="6"/>
  <c r="AC258" i="5"/>
  <c r="F258" i="6"/>
  <c r="E258" i="12"/>
  <c r="AC123" i="5"/>
  <c r="F123" i="6"/>
  <c r="E123" i="12"/>
  <c r="G155" i="6"/>
  <c r="F155" i="12"/>
  <c r="F235" i="12"/>
  <c r="G235" i="6"/>
  <c r="F96" i="12"/>
  <c r="G96" i="6"/>
  <c r="F112" i="6"/>
  <c r="E112" i="12"/>
  <c r="AC112" i="5"/>
  <c r="E176" i="12"/>
  <c r="AC176" i="5"/>
  <c r="F176" i="6"/>
  <c r="F208" i="6"/>
  <c r="AC208" i="5"/>
  <c r="E208" i="12"/>
  <c r="E240" i="12"/>
  <c r="AC240" i="5"/>
  <c r="F240" i="6"/>
  <c r="E69" i="12"/>
  <c r="AC69" i="5"/>
  <c r="F69" i="6"/>
  <c r="F85" i="6"/>
  <c r="E85" i="12"/>
  <c r="AC85" i="5"/>
  <c r="G117" i="6"/>
  <c r="F117" i="12"/>
  <c r="F133" i="6"/>
  <c r="E133" i="12"/>
  <c r="AC133" i="5"/>
  <c r="E181" i="12"/>
  <c r="F181" i="6"/>
  <c r="AC181" i="5"/>
  <c r="G197" i="6"/>
  <c r="F197" i="12"/>
  <c r="F213" i="12"/>
  <c r="G213" i="6"/>
  <c r="G118" i="6"/>
  <c r="F118" i="12"/>
  <c r="E150" i="12"/>
  <c r="F150" i="6"/>
  <c r="AC150" i="5"/>
  <c r="G166" i="6"/>
  <c r="F166" i="12"/>
  <c r="E182" i="12"/>
  <c r="AC182" i="5"/>
  <c r="F182" i="6"/>
  <c r="F79" i="12"/>
  <c r="G79" i="6"/>
  <c r="F95" i="6"/>
  <c r="E95" i="12"/>
  <c r="AC95" i="5"/>
  <c r="F127" i="6"/>
  <c r="E127" i="12"/>
  <c r="AC127" i="5"/>
  <c r="F143" i="12"/>
  <c r="G143" i="6"/>
  <c r="F159" i="12"/>
  <c r="G159" i="6"/>
  <c r="F191" i="6"/>
  <c r="AC191" i="5"/>
  <c r="E191" i="12"/>
  <c r="F207" i="12"/>
  <c r="G207" i="6"/>
  <c r="E223" i="12"/>
  <c r="F223" i="6"/>
  <c r="AC223" i="5"/>
  <c r="I20" i="8" l="1"/>
  <c r="I17" i="8" l="1"/>
  <c r="N23" i="6"/>
  <c r="N34" i="6"/>
  <c r="N42" i="6"/>
  <c r="N35" i="6"/>
  <c r="N43" i="6"/>
  <c r="N44" i="6" l="1"/>
  <c r="N60" i="6"/>
  <c r="N76" i="6"/>
  <c r="N92" i="6"/>
  <c r="N108" i="6"/>
  <c r="N124" i="6"/>
  <c r="N140" i="6"/>
  <c r="N156" i="6"/>
  <c r="N172" i="6"/>
  <c r="N188" i="6"/>
  <c r="N204" i="6"/>
  <c r="N220" i="6"/>
  <c r="N236" i="6"/>
  <c r="N252" i="6"/>
  <c r="N45" i="6"/>
  <c r="N61" i="6"/>
  <c r="N77" i="6"/>
  <c r="N93" i="6"/>
  <c r="N109" i="6"/>
  <c r="N125" i="6"/>
  <c r="N141" i="6"/>
  <c r="N157" i="6"/>
  <c r="N173" i="6"/>
  <c r="N189" i="6"/>
  <c r="N205" i="6"/>
  <c r="N221" i="6"/>
  <c r="N237" i="6"/>
  <c r="N253" i="6"/>
  <c r="N54" i="6"/>
  <c r="N70" i="6"/>
  <c r="N86" i="6"/>
  <c r="N102" i="6"/>
  <c r="N118" i="6"/>
  <c r="N134" i="6"/>
  <c r="N150" i="6"/>
  <c r="N166" i="6"/>
  <c r="N182" i="6"/>
  <c r="N198" i="6"/>
  <c r="N214" i="6"/>
  <c r="N230" i="6"/>
  <c r="N246" i="6"/>
  <c r="N263" i="6"/>
  <c r="N51" i="6"/>
  <c r="N67" i="6"/>
  <c r="N83" i="6"/>
  <c r="N99" i="6"/>
  <c r="N115" i="6"/>
  <c r="N131" i="6"/>
  <c r="N163" i="6"/>
  <c r="N211" i="6"/>
  <c r="N48" i="6"/>
  <c r="N64" i="6"/>
  <c r="N80" i="6"/>
  <c r="N96" i="6"/>
  <c r="N112" i="6"/>
  <c r="N128" i="6"/>
  <c r="N144" i="6"/>
  <c r="N160" i="6"/>
  <c r="N176" i="6"/>
  <c r="N192" i="6"/>
  <c r="N208" i="6"/>
  <c r="N224" i="6"/>
  <c r="N240" i="6"/>
  <c r="N256" i="6"/>
  <c r="N49" i="6"/>
  <c r="N65" i="6"/>
  <c r="N81" i="6"/>
  <c r="N97" i="6"/>
  <c r="N113" i="6"/>
  <c r="N129" i="6"/>
  <c r="N145" i="6"/>
  <c r="N161" i="6"/>
  <c r="N177" i="6"/>
  <c r="N194" i="6"/>
  <c r="N209" i="6"/>
  <c r="N225" i="6"/>
  <c r="N241" i="6"/>
  <c r="N257" i="6"/>
  <c r="N58" i="6"/>
  <c r="N74" i="6"/>
  <c r="N90" i="6"/>
  <c r="N106" i="6"/>
  <c r="N122" i="6"/>
  <c r="N138" i="6"/>
  <c r="N154" i="6"/>
  <c r="N170" i="6"/>
  <c r="N186" i="6"/>
  <c r="N202" i="6"/>
  <c r="N218" i="6"/>
  <c r="N234" i="6"/>
  <c r="N250" i="6"/>
  <c r="N55" i="6"/>
  <c r="N71" i="6"/>
  <c r="N87" i="6"/>
  <c r="N103" i="6"/>
  <c r="N119" i="6"/>
  <c r="N135" i="6"/>
  <c r="N151" i="6"/>
  <c r="N167" i="6"/>
  <c r="N183" i="6"/>
  <c r="N199" i="6"/>
  <c r="N215" i="6"/>
  <c r="N231" i="6"/>
  <c r="N247" i="6"/>
  <c r="N262" i="6"/>
  <c r="N219" i="6"/>
  <c r="N251" i="6"/>
  <c r="N195" i="6"/>
  <c r="N259" i="6"/>
  <c r="N52" i="6"/>
  <c r="N68" i="6"/>
  <c r="N84" i="6"/>
  <c r="N100" i="6"/>
  <c r="N116" i="6"/>
  <c r="N132" i="6"/>
  <c r="N148" i="6"/>
  <c r="N164" i="6"/>
  <c r="N180" i="6"/>
  <c r="N196" i="6"/>
  <c r="N212" i="6"/>
  <c r="N228" i="6"/>
  <c r="N244" i="6"/>
  <c r="N260" i="6"/>
  <c r="N53" i="6"/>
  <c r="N69" i="6"/>
  <c r="N85" i="6"/>
  <c r="N101" i="6"/>
  <c r="N117" i="6"/>
  <c r="N133" i="6"/>
  <c r="N149" i="6"/>
  <c r="N165" i="6"/>
  <c r="N181" i="6"/>
  <c r="N197" i="6"/>
  <c r="N213" i="6"/>
  <c r="N229" i="6"/>
  <c r="N245" i="6"/>
  <c r="N261" i="6"/>
  <c r="N46" i="6"/>
  <c r="N62" i="6"/>
  <c r="N78" i="6"/>
  <c r="N94" i="6"/>
  <c r="N110" i="6"/>
  <c r="N126" i="6"/>
  <c r="N142" i="6"/>
  <c r="N158" i="6"/>
  <c r="N174" i="6"/>
  <c r="N190" i="6"/>
  <c r="N206" i="6"/>
  <c r="N222" i="6"/>
  <c r="N238" i="6"/>
  <c r="N254" i="6"/>
  <c r="N59" i="6"/>
  <c r="N75" i="6"/>
  <c r="N91" i="6"/>
  <c r="N107" i="6"/>
  <c r="N123" i="6"/>
  <c r="N139" i="6"/>
  <c r="N155" i="6"/>
  <c r="N171" i="6"/>
  <c r="N187" i="6"/>
  <c r="N203" i="6"/>
  <c r="N235" i="6"/>
  <c r="N227" i="6"/>
  <c r="N57" i="6"/>
  <c r="N72" i="6"/>
  <c r="N88" i="6"/>
  <c r="N104" i="6"/>
  <c r="N120" i="6"/>
  <c r="N136" i="6"/>
  <c r="N152" i="6"/>
  <c r="N168" i="6"/>
  <c r="N184" i="6"/>
  <c r="N200" i="6"/>
  <c r="N216" i="6"/>
  <c r="N232" i="6"/>
  <c r="N248" i="6"/>
  <c r="N264" i="6"/>
  <c r="N56" i="6"/>
  <c r="N73" i="6"/>
  <c r="N89" i="6"/>
  <c r="N105" i="6"/>
  <c r="N121" i="6"/>
  <c r="N137" i="6"/>
  <c r="N153" i="6"/>
  <c r="N169" i="6"/>
  <c r="N185" i="6"/>
  <c r="N201" i="6"/>
  <c r="N217" i="6"/>
  <c r="N233" i="6"/>
  <c r="N249" i="6"/>
  <c r="N265" i="6"/>
  <c r="N50" i="6"/>
  <c r="N66" i="6"/>
  <c r="N82" i="6"/>
  <c r="N98" i="6"/>
  <c r="N114" i="6"/>
  <c r="N130" i="6"/>
  <c r="N146" i="6"/>
  <c r="N162" i="6"/>
  <c r="N178" i="6"/>
  <c r="N193" i="6"/>
  <c r="N210" i="6"/>
  <c r="N226" i="6"/>
  <c r="N242" i="6"/>
  <c r="N258" i="6"/>
  <c r="N47" i="6"/>
  <c r="N63" i="6"/>
  <c r="N79" i="6"/>
  <c r="N95" i="6"/>
  <c r="N111" i="6"/>
  <c r="N127" i="6"/>
  <c r="N143" i="6"/>
  <c r="N159" i="6"/>
  <c r="N175" i="6"/>
  <c r="N191" i="6"/>
  <c r="N207" i="6"/>
  <c r="N223" i="6"/>
  <c r="N239" i="6"/>
  <c r="N255" i="6"/>
  <c r="N147" i="6"/>
  <c r="N179" i="6"/>
  <c r="N243" i="6"/>
  <c r="N36" i="6"/>
  <c r="N40" i="6"/>
  <c r="N38" i="6"/>
  <c r="N37" i="6"/>
  <c r="N41" i="6"/>
  <c r="N39" i="6"/>
  <c r="N24" i="6"/>
  <c r="N25" i="6"/>
  <c r="N26" i="6"/>
  <c r="N27" i="6"/>
  <c r="C20" i="10" l="1"/>
  <c r="C20" i="9"/>
  <c r="C19" i="10"/>
  <c r="C19" i="9"/>
  <c r="G15" i="11" l="1"/>
  <c r="I29" i="8" s="1"/>
  <c r="I23" i="8"/>
  <c r="I26" i="8" l="1"/>
  <c r="C17" i="10"/>
  <c r="C17" i="9"/>
  <c r="F15" i="13"/>
  <c r="I32" i="8"/>
  <c r="N32" i="6"/>
  <c r="N29" i="6"/>
  <c r="N30" i="6"/>
  <c r="N33" i="6"/>
  <c r="N31" i="6"/>
  <c r="C18" i="10" l="1"/>
  <c r="C18" i="9"/>
  <c r="X43" i="5" l="1"/>
  <c r="AF51" i="5"/>
  <c r="AF47" i="5"/>
  <c r="R51" i="5" l="1"/>
  <c r="AG51" i="5"/>
  <c r="S51" i="5"/>
  <c r="S47" i="5"/>
  <c r="R47" i="5"/>
  <c r="AG47" i="5"/>
  <c r="AM43" i="5"/>
  <c r="L43" i="5"/>
  <c r="Z43" i="5"/>
  <c r="AC43" i="6"/>
  <c r="AD43" i="6"/>
  <c r="AB43" i="6"/>
  <c r="I43" i="12"/>
  <c r="X42" i="5"/>
  <c r="AN40" i="5" l="1"/>
  <c r="W40" i="5"/>
  <c r="G51" i="6"/>
  <c r="F51" i="12"/>
  <c r="E47" i="12"/>
  <c r="AC47" i="5"/>
  <c r="F47" i="6"/>
  <c r="AN39" i="5"/>
  <c r="W39" i="5"/>
  <c r="G47" i="6"/>
  <c r="F47" i="12"/>
  <c r="AC51" i="5"/>
  <c r="E51" i="12"/>
  <c r="F51" i="6"/>
  <c r="I15" i="12"/>
  <c r="Z42" i="5"/>
  <c r="AM42" i="5"/>
  <c r="L42" i="5"/>
  <c r="I42" i="12"/>
  <c r="R23" i="8"/>
  <c r="AB43" i="5"/>
  <c r="C43" i="6"/>
  <c r="C43" i="12"/>
  <c r="AO43" i="12"/>
  <c r="O43" i="12"/>
  <c r="M43" i="12"/>
  <c r="X39" i="5" l="1"/>
  <c r="H39" i="12"/>
  <c r="H40" i="12"/>
  <c r="X40" i="5"/>
  <c r="AO42" i="12"/>
  <c r="Y43" i="12"/>
  <c r="AB42" i="5"/>
  <c r="AB17" i="11" s="1"/>
  <c r="F24" i="8"/>
  <c r="F23" i="8"/>
  <c r="G24" i="8"/>
  <c r="AB25" i="8"/>
  <c r="AB23" i="8" s="1"/>
  <c r="X25" i="8"/>
  <c r="X23" i="8" s="1"/>
  <c r="AA25" i="8"/>
  <c r="AA23" i="8" s="1"/>
  <c r="Z25" i="8"/>
  <c r="Z23" i="8" s="1"/>
  <c r="D25" i="8"/>
  <c r="D23" i="8" s="1"/>
  <c r="T25" i="8"/>
  <c r="T23" i="8" s="1"/>
  <c r="Y25" i="8"/>
  <c r="Y23" i="8" s="1"/>
  <c r="AC25" i="8"/>
  <c r="AC23" i="8" s="1"/>
  <c r="W25" i="8"/>
  <c r="W23" i="8" s="1"/>
  <c r="AD25" i="8"/>
  <c r="AD23" i="8" s="1"/>
  <c r="V25" i="8"/>
  <c r="V23" i="8" s="1"/>
  <c r="U25" i="8"/>
  <c r="U23" i="8" s="1"/>
  <c r="AE25" i="8"/>
  <c r="AE23" i="8" s="1"/>
  <c r="J42" i="12"/>
  <c r="C42" i="12"/>
  <c r="L42" i="12"/>
  <c r="O42" i="5"/>
  <c r="C42" i="6"/>
  <c r="O42" i="12"/>
  <c r="N43" i="12"/>
  <c r="M42" i="12"/>
  <c r="Z40" i="5" l="1"/>
  <c r="AB40" i="5" s="1"/>
  <c r="AM40" i="5"/>
  <c r="L40" i="5"/>
  <c r="I40" i="12"/>
  <c r="AD40" i="6"/>
  <c r="AB40" i="6"/>
  <c r="AC40" i="6"/>
  <c r="L39" i="5"/>
  <c r="I39" i="12"/>
  <c r="Z39" i="5"/>
  <c r="AB39" i="5" s="1"/>
  <c r="X34" i="5"/>
  <c r="I39" i="5"/>
  <c r="I40" i="5" s="1"/>
  <c r="I41" i="5" s="1"/>
  <c r="I42" i="5" s="1"/>
  <c r="I43" i="5" s="1"/>
  <c r="AD39" i="6"/>
  <c r="AB39" i="6"/>
  <c r="AC39" i="6"/>
  <c r="AM39" i="5"/>
  <c r="C23" i="8"/>
  <c r="O46" i="5"/>
  <c r="N17" i="11"/>
  <c r="U17" i="13"/>
  <c r="S17" i="13"/>
  <c r="Z17" i="11"/>
  <c r="W43" i="12"/>
  <c r="X43" i="12"/>
  <c r="D42" i="12"/>
  <c r="E42" i="6"/>
  <c r="H23" i="8"/>
  <c r="Y42" i="12"/>
  <c r="N42" i="12"/>
  <c r="K42" i="12"/>
  <c r="G23" i="8"/>
  <c r="I24" i="8" s="1"/>
  <c r="C40" i="12" l="1"/>
  <c r="O40" i="12"/>
  <c r="AO40" i="12"/>
  <c r="M40" i="12"/>
  <c r="O39" i="5"/>
  <c r="C39" i="6"/>
  <c r="C40" i="6"/>
  <c r="O40" i="5"/>
  <c r="I44" i="5"/>
  <c r="O43" i="5"/>
  <c r="L34" i="5"/>
  <c r="I34" i="12"/>
  <c r="AM34" i="5"/>
  <c r="R20" i="8"/>
  <c r="Z34" i="5"/>
  <c r="AB34" i="5"/>
  <c r="O39" i="12"/>
  <c r="C39" i="12"/>
  <c r="M39" i="12"/>
  <c r="AO39" i="12"/>
  <c r="X42" i="12"/>
  <c r="W42" i="12"/>
  <c r="V43" i="12"/>
  <c r="U43" i="12"/>
  <c r="T43" i="12"/>
  <c r="D46" i="12"/>
  <c r="E46" i="6"/>
  <c r="O47" i="5"/>
  <c r="Y40" i="12" l="1"/>
  <c r="X40" i="12" s="1"/>
  <c r="L34" i="12"/>
  <c r="C34" i="12"/>
  <c r="J34" i="12"/>
  <c r="C34" i="6"/>
  <c r="O34" i="5"/>
  <c r="E39" i="6"/>
  <c r="D39" i="12"/>
  <c r="D43" i="12"/>
  <c r="E43" i="6"/>
  <c r="Y39" i="12"/>
  <c r="AO34" i="12"/>
  <c r="O44" i="5"/>
  <c r="I45" i="5"/>
  <c r="U22" i="8"/>
  <c r="U20" i="8" s="1"/>
  <c r="F21" i="8"/>
  <c r="Z22" i="8"/>
  <c r="Z20" i="8" s="1"/>
  <c r="Y22" i="8"/>
  <c r="Y20" i="8" s="1"/>
  <c r="X22" i="8"/>
  <c r="X20" i="8" s="1"/>
  <c r="AE22" i="8"/>
  <c r="AE20" i="8" s="1"/>
  <c r="T22" i="8"/>
  <c r="T20" i="8" s="1"/>
  <c r="W22" i="8"/>
  <c r="W20" i="8" s="1"/>
  <c r="F20" i="8"/>
  <c r="AA22" i="8"/>
  <c r="AA20" i="8" s="1"/>
  <c r="G21" i="8"/>
  <c r="AD22" i="8"/>
  <c r="AD20" i="8" s="1"/>
  <c r="D22" i="8"/>
  <c r="D20" i="8" s="1"/>
  <c r="C20" i="8"/>
  <c r="V22" i="8"/>
  <c r="V20" i="8" s="1"/>
  <c r="AC22" i="8"/>
  <c r="AC20" i="8" s="1"/>
  <c r="AB22" i="8"/>
  <c r="AB20" i="8" s="1"/>
  <c r="N40" i="12"/>
  <c r="N39" i="12"/>
  <c r="O34" i="12"/>
  <c r="M34" i="12"/>
  <c r="D40" i="12"/>
  <c r="E40" i="6"/>
  <c r="V42" i="12"/>
  <c r="T42" i="12"/>
  <c r="U42" i="12"/>
  <c r="AA47" i="5"/>
  <c r="AA46" i="5"/>
  <c r="E47" i="6"/>
  <c r="D47" i="12"/>
  <c r="W40" i="12" l="1"/>
  <c r="V40" i="12" s="1"/>
  <c r="G20" i="8"/>
  <c r="I21" i="8" s="1"/>
  <c r="D34" i="12"/>
  <c r="E34" i="6"/>
  <c r="H20" i="8"/>
  <c r="N34" i="12"/>
  <c r="I46" i="5"/>
  <c r="I47" i="5" s="1"/>
  <c r="I48" i="5" s="1"/>
  <c r="O45" i="5"/>
  <c r="D44" i="12"/>
  <c r="E44" i="6"/>
  <c r="Y34" i="12"/>
  <c r="W39" i="12"/>
  <c r="X39" i="12"/>
  <c r="K34" i="12"/>
  <c r="U40" i="12" l="1"/>
  <c r="T40" i="12"/>
  <c r="AA39" i="5"/>
  <c r="X34" i="12"/>
  <c r="W34" i="12"/>
  <c r="O48" i="5"/>
  <c r="I49" i="5"/>
  <c r="V39" i="12"/>
  <c r="T39" i="12"/>
  <c r="U39" i="12"/>
  <c r="AA40" i="5"/>
  <c r="E45" i="6"/>
  <c r="D45" i="12"/>
  <c r="I50" i="5" l="1"/>
  <c r="I51" i="5" s="1"/>
  <c r="O49" i="5"/>
  <c r="E48" i="6"/>
  <c r="D48" i="12"/>
  <c r="T34" i="12"/>
  <c r="U34" i="12"/>
  <c r="V34" i="12"/>
  <c r="D49" i="12" l="1"/>
  <c r="E49" i="6"/>
  <c r="B9" i="9" l="1"/>
  <c r="AF31" i="5"/>
  <c r="AF41" i="5"/>
  <c r="AF55" i="5"/>
  <c r="AF19" i="5"/>
  <c r="AF54" i="5"/>
  <c r="AF17" i="5"/>
  <c r="AF25" i="5"/>
  <c r="AF36" i="5"/>
  <c r="AF48" i="5"/>
  <c r="AF28" i="5"/>
  <c r="AF30" i="5"/>
  <c r="AF38" i="5"/>
  <c r="AF26" i="5"/>
  <c r="AF34" i="5"/>
  <c r="AF21" i="5"/>
  <c r="AF23" i="5"/>
  <c r="AF37" i="5"/>
  <c r="AF29" i="5"/>
  <c r="AF20" i="5"/>
  <c r="AF45" i="5"/>
  <c r="AF22" i="5"/>
  <c r="AF56" i="5"/>
  <c r="AF53" i="5"/>
  <c r="AF57" i="5"/>
  <c r="AF42" i="5"/>
  <c r="AF44" i="5"/>
  <c r="AF43" i="5"/>
  <c r="AF49" i="5"/>
  <c r="AF14" i="5"/>
  <c r="AF32" i="5"/>
  <c r="AF35" i="5"/>
  <c r="AF40" i="5"/>
  <c r="AF24" i="5"/>
  <c r="AF27" i="5"/>
  <c r="AF46" i="5"/>
  <c r="AF33" i="5"/>
  <c r="AF16" i="5"/>
  <c r="AF39" i="5"/>
  <c r="AF18" i="5"/>
  <c r="AG22" i="5" l="1"/>
  <c r="S22" i="5"/>
  <c r="R22" i="5"/>
  <c r="AG21" i="5"/>
  <c r="S21" i="5"/>
  <c r="R21" i="5"/>
  <c r="R48" i="5"/>
  <c r="AG48" i="5"/>
  <c r="S48" i="5"/>
  <c r="S55" i="5"/>
  <c r="R55" i="5"/>
  <c r="AG55" i="5"/>
  <c r="U55" i="5" s="1"/>
  <c r="S54" i="5"/>
  <c r="AG54" i="5"/>
  <c r="U54" i="5" s="1"/>
  <c r="R54" i="5"/>
  <c r="S37" i="5"/>
  <c r="R37" i="5"/>
  <c r="AG37" i="5"/>
  <c r="S53" i="5"/>
  <c r="AG53" i="5"/>
  <c r="U53" i="5" s="1"/>
  <c r="R53" i="5"/>
  <c r="AG49" i="5"/>
  <c r="R49" i="5"/>
  <c r="S49" i="5"/>
  <c r="S23" i="5"/>
  <c r="AG23" i="5"/>
  <c r="R23" i="5"/>
  <c r="S56" i="5"/>
  <c r="AG56" i="5"/>
  <c r="R56" i="5"/>
  <c r="S43" i="5"/>
  <c r="R43" i="5"/>
  <c r="AG43" i="5"/>
  <c r="R44" i="5"/>
  <c r="AG44" i="5"/>
  <c r="S44" i="5"/>
  <c r="S45" i="5"/>
  <c r="AG45" i="5"/>
  <c r="R45" i="5"/>
  <c r="S34" i="5"/>
  <c r="AG34" i="5"/>
  <c r="R36" i="5"/>
  <c r="S36" i="5"/>
  <c r="AG36" i="5"/>
  <c r="R41" i="5"/>
  <c r="S41" i="5"/>
  <c r="AG41" i="5"/>
  <c r="S30" i="5"/>
  <c r="AG30" i="5"/>
  <c r="R30" i="5"/>
  <c r="R33" i="5"/>
  <c r="S33" i="5"/>
  <c r="AG33" i="5"/>
  <c r="R35" i="5"/>
  <c r="S35" i="5"/>
  <c r="AG35" i="5"/>
  <c r="S28" i="5"/>
  <c r="AG28" i="5"/>
  <c r="R28" i="5"/>
  <c r="S19" i="5"/>
  <c r="R19" i="5"/>
  <c r="AG19" i="5"/>
  <c r="S24" i="5"/>
  <c r="R24" i="5"/>
  <c r="AG24" i="5"/>
  <c r="AG32" i="5"/>
  <c r="R32" i="5"/>
  <c r="S32" i="5"/>
  <c r="S42" i="5"/>
  <c r="AG42" i="5"/>
  <c r="AG20" i="5"/>
  <c r="S20" i="5"/>
  <c r="R20" i="5"/>
  <c r="R26" i="5"/>
  <c r="S26" i="5"/>
  <c r="AG26" i="5"/>
  <c r="S25" i="5"/>
  <c r="AG25" i="5"/>
  <c r="R25" i="5"/>
  <c r="S31" i="5"/>
  <c r="AG31" i="5"/>
  <c r="R31" i="5"/>
  <c r="R18" i="5"/>
  <c r="AG18" i="5"/>
  <c r="S18" i="5"/>
  <c r="AG27" i="5"/>
  <c r="S27" i="5"/>
  <c r="R27" i="5"/>
  <c r="S39" i="5"/>
  <c r="AG39" i="5"/>
  <c r="R39" i="5"/>
  <c r="S16" i="5"/>
  <c r="AG16" i="5"/>
  <c r="S46" i="5"/>
  <c r="R46" i="5"/>
  <c r="AG46" i="5"/>
  <c r="AG40" i="5"/>
  <c r="R40" i="5"/>
  <c r="S40" i="5"/>
  <c r="R14" i="5"/>
  <c r="AG14" i="5"/>
  <c r="S14" i="5"/>
  <c r="S57" i="5"/>
  <c r="AG57" i="5"/>
  <c r="R57" i="5"/>
  <c r="S29" i="5"/>
  <c r="AG29" i="5"/>
  <c r="R29" i="5"/>
  <c r="S38" i="5"/>
  <c r="AG38" i="5"/>
  <c r="R38" i="5"/>
  <c r="S17" i="5"/>
  <c r="AG17" i="5"/>
  <c r="G20" i="6" l="1"/>
  <c r="F20" i="12"/>
  <c r="AC46" i="5"/>
  <c r="E46" i="12"/>
  <c r="F46" i="6"/>
  <c r="F18" i="6"/>
  <c r="AC18" i="5"/>
  <c r="E18" i="12"/>
  <c r="AC28" i="5"/>
  <c r="F28" i="6"/>
  <c r="E28" i="12"/>
  <c r="AC49" i="5"/>
  <c r="E49" i="12"/>
  <c r="F49" i="6"/>
  <c r="F55" i="6"/>
  <c r="E55" i="12"/>
  <c r="AC31" i="5"/>
  <c r="E31" i="12"/>
  <c r="F31" i="6"/>
  <c r="F41" i="12"/>
  <c r="G41" i="6"/>
  <c r="F44" i="6"/>
  <c r="AC44" i="5"/>
  <c r="E44" i="12"/>
  <c r="F55" i="12"/>
  <c r="G55" i="6"/>
  <c r="F29" i="6"/>
  <c r="AC29" i="5"/>
  <c r="E29" i="12"/>
  <c r="G49" i="6"/>
  <c r="F49" i="12"/>
  <c r="F42" i="12"/>
  <c r="AC42" i="5"/>
  <c r="G28" i="6"/>
  <c r="F28" i="12"/>
  <c r="AC41" i="5"/>
  <c r="F41" i="6"/>
  <c r="E41" i="12"/>
  <c r="F53" i="6"/>
  <c r="E53" i="12"/>
  <c r="G48" i="6"/>
  <c r="F48" i="12"/>
  <c r="F19" i="12"/>
  <c r="G19" i="6"/>
  <c r="F46" i="12"/>
  <c r="G46" i="6"/>
  <c r="F16" i="12"/>
  <c r="AC43" i="5"/>
  <c r="E43" i="12"/>
  <c r="F43" i="6"/>
  <c r="AN53" i="5"/>
  <c r="W53" i="5"/>
  <c r="G31" i="6"/>
  <c r="F31" i="12"/>
  <c r="F32" i="12"/>
  <c r="G32" i="6"/>
  <c r="G57" i="6"/>
  <c r="F57" i="12"/>
  <c r="AC39" i="5"/>
  <c r="F39" i="6"/>
  <c r="E39" i="12"/>
  <c r="AC25" i="5"/>
  <c r="E25" i="12"/>
  <c r="F25" i="6"/>
  <c r="AC32" i="5"/>
  <c r="F32" i="6"/>
  <c r="E32" i="12"/>
  <c r="G35" i="6"/>
  <c r="F35" i="12"/>
  <c r="G36" i="6"/>
  <c r="F36" i="12"/>
  <c r="G43" i="6"/>
  <c r="F43" i="12"/>
  <c r="F53" i="12"/>
  <c r="G53" i="6"/>
  <c r="AC48" i="5"/>
  <c r="F48" i="6"/>
  <c r="E48" i="12"/>
  <c r="W55" i="5"/>
  <c r="AN55" i="5"/>
  <c r="G14" i="6"/>
  <c r="F14" i="12"/>
  <c r="E35" i="12"/>
  <c r="F35" i="6"/>
  <c r="AC35" i="5"/>
  <c r="E36" i="12"/>
  <c r="F36" i="6"/>
  <c r="AC36" i="5"/>
  <c r="F56" i="6"/>
  <c r="E56" i="12"/>
  <c r="AC56" i="5"/>
  <c r="E21" i="12"/>
  <c r="F21" i="6"/>
  <c r="AC21" i="5"/>
  <c r="F39" i="12"/>
  <c r="G39" i="6"/>
  <c r="AC37" i="5"/>
  <c r="E37" i="12"/>
  <c r="F37" i="6"/>
  <c r="G21" i="6"/>
  <c r="F21" i="12"/>
  <c r="F30" i="12"/>
  <c r="G30" i="6"/>
  <c r="G29" i="6"/>
  <c r="F29" i="12"/>
  <c r="F25" i="12"/>
  <c r="G25" i="6"/>
  <c r="AC17" i="5"/>
  <c r="F17" i="12"/>
  <c r="AC27" i="5"/>
  <c r="E27" i="12"/>
  <c r="F27" i="6"/>
  <c r="N28" i="6" s="1"/>
  <c r="AC24" i="5"/>
  <c r="E24" i="12"/>
  <c r="F24" i="6"/>
  <c r="F33" i="12"/>
  <c r="G33" i="6"/>
  <c r="F34" i="12"/>
  <c r="AC34" i="5"/>
  <c r="F56" i="12"/>
  <c r="G56" i="6"/>
  <c r="F37" i="12"/>
  <c r="G37" i="6"/>
  <c r="AC14" i="5"/>
  <c r="F14" i="6"/>
  <c r="E14" i="12"/>
  <c r="AC38" i="5"/>
  <c r="F38" i="6"/>
  <c r="E38" i="12"/>
  <c r="G40" i="6"/>
  <c r="F40" i="12"/>
  <c r="F27" i="12"/>
  <c r="G27" i="6"/>
  <c r="G26" i="6"/>
  <c r="F26" i="12"/>
  <c r="F24" i="12"/>
  <c r="G24" i="6"/>
  <c r="F33" i="6"/>
  <c r="AC33" i="5"/>
  <c r="E33" i="12"/>
  <c r="E45" i="12"/>
  <c r="AC45" i="5"/>
  <c r="F45" i="6"/>
  <c r="AC23" i="5"/>
  <c r="F23" i="6"/>
  <c r="E23" i="12"/>
  <c r="F54" i="6"/>
  <c r="E54" i="12"/>
  <c r="F22" i="6"/>
  <c r="AC22" i="5"/>
  <c r="E22" i="12"/>
  <c r="AC26" i="5"/>
  <c r="E26" i="12"/>
  <c r="F26" i="6"/>
  <c r="AC30" i="5"/>
  <c r="F30" i="6"/>
  <c r="E30" i="12"/>
  <c r="AN54" i="5"/>
  <c r="W54" i="5"/>
  <c r="G22" i="6"/>
  <c r="F22" i="12"/>
  <c r="F44" i="12"/>
  <c r="G44" i="6"/>
  <c r="F57" i="6"/>
  <c r="AC57" i="5"/>
  <c r="E57" i="12"/>
  <c r="F40" i="6"/>
  <c r="E40" i="12"/>
  <c r="AC40" i="5"/>
  <c r="G38" i="6"/>
  <c r="F38" i="12"/>
  <c r="G18" i="6"/>
  <c r="F18" i="12"/>
  <c r="AC20" i="5"/>
  <c r="F20" i="6"/>
  <c r="E20" i="12"/>
  <c r="AC19" i="5"/>
  <c r="E19" i="12"/>
  <c r="F19" i="6"/>
  <c r="F45" i="12"/>
  <c r="G45" i="6"/>
  <c r="F23" i="12"/>
  <c r="G23" i="6"/>
  <c r="G54" i="6"/>
  <c r="F54" i="12"/>
  <c r="X55" i="5" l="1"/>
  <c r="H55" i="12"/>
  <c r="X53" i="5"/>
  <c r="H53" i="12"/>
  <c r="X54" i="5"/>
  <c r="H54" i="12"/>
  <c r="AB54" i="6" l="1"/>
  <c r="AM54" i="5"/>
  <c r="AC54" i="6"/>
  <c r="Z54" i="5"/>
  <c r="AD54" i="6"/>
  <c r="I54" i="12"/>
  <c r="L54" i="5"/>
  <c r="AC54" i="5"/>
  <c r="I53" i="5"/>
  <c r="I54" i="5" s="1"/>
  <c r="I55" i="5" s="1"/>
  <c r="I56" i="5" s="1"/>
  <c r="I53" i="12"/>
  <c r="X52" i="5"/>
  <c r="AC53" i="6"/>
  <c r="AC15" i="6" s="1"/>
  <c r="R15" i="6" s="1"/>
  <c r="AD53" i="6"/>
  <c r="X15" i="5"/>
  <c r="AB53" i="6"/>
  <c r="L53" i="5"/>
  <c r="AM53" i="5"/>
  <c r="Z53" i="5"/>
  <c r="X16" i="5"/>
  <c r="AC53" i="5"/>
  <c r="AC55" i="6"/>
  <c r="AM55" i="5"/>
  <c r="Z55" i="5"/>
  <c r="L55" i="5"/>
  <c r="AD55" i="6"/>
  <c r="I55" i="12"/>
  <c r="AB55" i="6"/>
  <c r="AC55" i="5"/>
  <c r="AM52" i="5" l="1"/>
  <c r="AC52" i="5"/>
  <c r="I52" i="12"/>
  <c r="Z52" i="5"/>
  <c r="L52" i="5"/>
  <c r="R26" i="8"/>
  <c r="C55" i="6"/>
  <c r="O55" i="5"/>
  <c r="AB55" i="5"/>
  <c r="AA55" i="5"/>
  <c r="M53" i="12"/>
  <c r="C53" i="12"/>
  <c r="O53" i="12"/>
  <c r="AO53" i="12"/>
  <c r="I57" i="5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56" i="5"/>
  <c r="C54" i="6"/>
  <c r="O54" i="5"/>
  <c r="L16" i="5"/>
  <c r="R14" i="8"/>
  <c r="AM16" i="5"/>
  <c r="I16" i="12"/>
  <c r="O14" i="11"/>
  <c r="Z16" i="5"/>
  <c r="AC16" i="5"/>
  <c r="AC11" i="5" s="1"/>
  <c r="AB53" i="5"/>
  <c r="AA53" i="5"/>
  <c r="AO54" i="12"/>
  <c r="Y54" i="12" s="1"/>
  <c r="O54" i="12"/>
  <c r="M54" i="12"/>
  <c r="C54" i="12"/>
  <c r="AO55" i="12"/>
  <c r="M55" i="12"/>
  <c r="C55" i="12"/>
  <c r="O55" i="12"/>
  <c r="O53" i="5"/>
  <c r="C53" i="6"/>
  <c r="AB54" i="5"/>
  <c r="AA54" i="5"/>
  <c r="AB15" i="6"/>
  <c r="Q15" i="6" s="1"/>
  <c r="AC73" i="10"/>
  <c r="O73" i="10"/>
  <c r="AE73" i="10"/>
  <c r="Q73" i="10"/>
  <c r="AA73" i="10"/>
  <c r="U73" i="10"/>
  <c r="M73" i="10"/>
  <c r="Z15" i="5"/>
  <c r="S73" i="10"/>
  <c r="AM15" i="5"/>
  <c r="Y73" i="10"/>
  <c r="K73" i="10"/>
  <c r="W73" i="10"/>
  <c r="I73" i="10"/>
  <c r="AD15" i="6"/>
  <c r="S15" i="6" s="1"/>
  <c r="N55" i="12" l="1"/>
  <c r="N54" i="12"/>
  <c r="M71" i="10"/>
  <c r="M70" i="10" s="1"/>
  <c r="M72" i="10"/>
  <c r="L14" i="13"/>
  <c r="W14" i="11"/>
  <c r="C14" i="11"/>
  <c r="O24" i="11"/>
  <c r="M52" i="12"/>
  <c r="M16" i="12"/>
  <c r="E53" i="6"/>
  <c r="D53" i="12"/>
  <c r="U72" i="10"/>
  <c r="U71" i="10"/>
  <c r="U70" i="10" s="1"/>
  <c r="C16" i="12"/>
  <c r="L16" i="12"/>
  <c r="J16" i="12"/>
  <c r="AA72" i="10"/>
  <c r="AA71" i="10"/>
  <c r="AA70" i="10" s="1"/>
  <c r="Q71" i="10"/>
  <c r="Q70" i="10" s="1"/>
  <c r="Q72" i="10"/>
  <c r="Y55" i="12"/>
  <c r="Q165" i="8"/>
  <c r="H165" i="8" s="1"/>
  <c r="F15" i="8"/>
  <c r="F14" i="8"/>
  <c r="G15" i="8"/>
  <c r="D55" i="12"/>
  <c r="E55" i="6"/>
  <c r="AE72" i="10"/>
  <c r="AE71" i="10"/>
  <c r="AE70" i="10" s="1"/>
  <c r="O16" i="5"/>
  <c r="C16" i="6"/>
  <c r="I71" i="10"/>
  <c r="I70" i="10" s="1"/>
  <c r="Y9" i="10" s="1"/>
  <c r="I72" i="10"/>
  <c r="AE9" i="10" s="1"/>
  <c r="O71" i="10"/>
  <c r="O70" i="10" s="1"/>
  <c r="O72" i="10"/>
  <c r="D54" i="12"/>
  <c r="E54" i="6"/>
  <c r="AE28" i="8"/>
  <c r="AE16" i="8" s="1"/>
  <c r="AE14" i="8" s="1"/>
  <c r="W28" i="8"/>
  <c r="W16" i="8" s="1"/>
  <c r="W14" i="8" s="1"/>
  <c r="G27" i="8"/>
  <c r="X28" i="8"/>
  <c r="X26" i="8" s="1"/>
  <c r="AA28" i="8"/>
  <c r="AA16" i="8" s="1"/>
  <c r="AA14" i="8" s="1"/>
  <c r="AB28" i="8"/>
  <c r="AB26" i="8" s="1"/>
  <c r="D28" i="8"/>
  <c r="D16" i="8" s="1"/>
  <c r="V28" i="8"/>
  <c r="V16" i="8" s="1"/>
  <c r="V14" i="8" s="1"/>
  <c r="F26" i="8"/>
  <c r="T28" i="8"/>
  <c r="T16" i="8" s="1"/>
  <c r="T174" i="8" s="1"/>
  <c r="Z28" i="8"/>
  <c r="Z26" i="8" s="1"/>
  <c r="AC28" i="8"/>
  <c r="AC16" i="8" s="1"/>
  <c r="AC14" i="8" s="1"/>
  <c r="AD28" i="8"/>
  <c r="AD16" i="8" s="1"/>
  <c r="AD14" i="8" s="1"/>
  <c r="Y28" i="8"/>
  <c r="Y16" i="8" s="1"/>
  <c r="Y14" i="8" s="1"/>
  <c r="F27" i="8"/>
  <c r="U28" i="8"/>
  <c r="U16" i="8" s="1"/>
  <c r="U14" i="8" s="1"/>
  <c r="Z16" i="8"/>
  <c r="Z14" i="8" s="1"/>
  <c r="AB16" i="8"/>
  <c r="AB14" i="8" s="1"/>
  <c r="G26" i="8"/>
  <c r="I27" i="8" s="1"/>
  <c r="X16" i="8"/>
  <c r="X14" i="8" s="1"/>
  <c r="W72" i="10"/>
  <c r="W71" i="10"/>
  <c r="W70" i="10" s="1"/>
  <c r="AC72" i="10"/>
  <c r="AC71" i="10"/>
  <c r="AC70" i="10" s="1"/>
  <c r="C52" i="6"/>
  <c r="O52" i="5"/>
  <c r="K72" i="10"/>
  <c r="K71" i="10"/>
  <c r="K70" i="10" s="1"/>
  <c r="W54" i="12"/>
  <c r="X54" i="12"/>
  <c r="D56" i="12"/>
  <c r="E56" i="6"/>
  <c r="J52" i="12"/>
  <c r="L52" i="12"/>
  <c r="K52" i="12" s="1"/>
  <c r="C52" i="12"/>
  <c r="Y72" i="10"/>
  <c r="Y71" i="10"/>
  <c r="Y70" i="10" s="1"/>
  <c r="AB15" i="5"/>
  <c r="AB16" i="5"/>
  <c r="AB14" i="11" s="1"/>
  <c r="AB52" i="5"/>
  <c r="C26" i="8" s="1"/>
  <c r="Y53" i="12"/>
  <c r="AO52" i="12"/>
  <c r="AO16" i="12"/>
  <c r="Y16" i="12" s="1"/>
  <c r="S72" i="10"/>
  <c r="S71" i="10"/>
  <c r="S70" i="10" s="1"/>
  <c r="N53" i="12"/>
  <c r="O16" i="12"/>
  <c r="O52" i="12"/>
  <c r="Y52" i="12" l="1"/>
  <c r="N52" i="12"/>
  <c r="T170" i="8"/>
  <c r="T169" i="8"/>
  <c r="T165" i="8" s="1"/>
  <c r="U174" i="8"/>
  <c r="AL14" i="13"/>
  <c r="M14" i="13" s="1"/>
  <c r="M28" i="13" s="1"/>
  <c r="AK14" i="13"/>
  <c r="S14" i="13" s="1"/>
  <c r="M27" i="13" s="1"/>
  <c r="W53" i="12"/>
  <c r="X53" i="12"/>
  <c r="AB24" i="11"/>
  <c r="AB7" i="11" s="1"/>
  <c r="N14" i="11"/>
  <c r="N24" i="11" s="1"/>
  <c r="D14" i="8"/>
  <c r="D173" i="8" a="1"/>
  <c r="D173" i="8" s="1"/>
  <c r="D168" i="8" s="1"/>
  <c r="X55" i="12"/>
  <c r="W55" i="12"/>
  <c r="E16" i="6"/>
  <c r="D16" i="12"/>
  <c r="H14" i="8"/>
  <c r="W52" i="12"/>
  <c r="X52" i="12"/>
  <c r="O25" i="11"/>
  <c r="AA7" i="11"/>
  <c r="Z3" i="11" s="1"/>
  <c r="AA3" i="11" s="1"/>
  <c r="D174" i="8"/>
  <c r="K16" i="12"/>
  <c r="AO14" i="13"/>
  <c r="O14" i="13" s="1"/>
  <c r="N16" i="12"/>
  <c r="AN14" i="13"/>
  <c r="U14" i="13" s="1"/>
  <c r="AD4" i="13" s="1"/>
  <c r="T173" i="8" a="1"/>
  <c r="T173" i="8" s="1"/>
  <c r="T14" i="8"/>
  <c r="G14" i="8" s="1"/>
  <c r="I15" i="8" s="1"/>
  <c r="D14" i="13"/>
  <c r="V14" i="13"/>
  <c r="L28" i="13"/>
  <c r="V54" i="12"/>
  <c r="U54" i="12"/>
  <c r="T54" i="12"/>
  <c r="H26" i="8"/>
  <c r="D52" i="12"/>
  <c r="E52" i="6"/>
  <c r="W16" i="12"/>
  <c r="X16" i="12"/>
  <c r="AA45" i="5" l="1"/>
  <c r="AD16" i="11"/>
  <c r="AA36" i="5"/>
  <c r="AD15" i="11"/>
  <c r="AA35" i="5"/>
  <c r="AD17" i="11"/>
  <c r="AA44" i="5"/>
  <c r="AD19" i="11"/>
  <c r="AD23" i="11"/>
  <c r="AD18" i="11"/>
  <c r="AD21" i="11"/>
  <c r="AE20" i="11" s="1"/>
  <c r="M20" i="11" s="1"/>
  <c r="L20" i="11" s="1"/>
  <c r="AA48" i="5"/>
  <c r="AD12" i="11"/>
  <c r="AA23" i="5"/>
  <c r="AD20" i="11"/>
  <c r="AA37" i="5"/>
  <c r="AA49" i="5"/>
  <c r="AA22" i="5"/>
  <c r="AD22" i="11"/>
  <c r="AA21" i="5"/>
  <c r="AA43" i="5"/>
  <c r="AD14" i="11"/>
  <c r="AA56" i="5"/>
  <c r="AA52" i="5" s="1"/>
  <c r="B26" i="8" s="1"/>
  <c r="N25" i="11"/>
  <c r="L27" i="13"/>
  <c r="D32" i="14" s="1"/>
  <c r="U16" i="12"/>
  <c r="V16" i="12"/>
  <c r="T16" i="12"/>
  <c r="N14" i="13"/>
  <c r="O28" i="13"/>
  <c r="P14" i="13"/>
  <c r="V15" i="13"/>
  <c r="V16" i="13" s="1"/>
  <c r="V17" i="13" s="1"/>
  <c r="V18" i="13" s="1"/>
  <c r="V19" i="13" s="1"/>
  <c r="V20" i="13" s="1"/>
  <c r="V21" i="13" s="1"/>
  <c r="V22" i="13" s="1"/>
  <c r="V23" i="13" s="1"/>
  <c r="I12" i="14" s="1"/>
  <c r="J12" i="14" s="1"/>
  <c r="K12" i="14" s="1"/>
  <c r="L12" i="14" s="1"/>
  <c r="D169" i="8"/>
  <c r="D165" i="8" s="1"/>
  <c r="D170" i="8"/>
  <c r="L24" i="13"/>
  <c r="D33" i="14"/>
  <c r="T52" i="12"/>
  <c r="V52" i="12"/>
  <c r="U52" i="12"/>
  <c r="T53" i="12"/>
  <c r="U53" i="12"/>
  <c r="V53" i="12"/>
  <c r="O29" i="13"/>
  <c r="M24" i="13"/>
  <c r="T55" i="12"/>
  <c r="U55" i="12"/>
  <c r="V55" i="12"/>
  <c r="T168" i="8"/>
  <c r="U173" i="8" a="1"/>
  <c r="U173" i="8" s="1"/>
  <c r="U169" i="8"/>
  <c r="U165" i="8" s="1"/>
  <c r="U170" i="8"/>
  <c r="V174" i="8"/>
  <c r="AA42" i="5" l="1"/>
  <c r="B23" i="8" s="1"/>
  <c r="W174" i="8"/>
  <c r="V169" i="8"/>
  <c r="V165" i="8" s="1"/>
  <c r="V170" i="8"/>
  <c r="J10" i="13" s="1"/>
  <c r="I46" i="14"/>
  <c r="J46" i="14" s="1"/>
  <c r="K46" i="14" s="1"/>
  <c r="L46" i="14" s="1"/>
  <c r="I23" i="14"/>
  <c r="J23" i="14" s="1"/>
  <c r="K23" i="14" s="1"/>
  <c r="L23" i="14" s="1"/>
  <c r="I35" i="14"/>
  <c r="J35" i="14" s="1"/>
  <c r="K35" i="14" s="1"/>
  <c r="L35" i="14" s="1"/>
  <c r="I25" i="14"/>
  <c r="J25" i="14" s="1"/>
  <c r="K25" i="14" s="1"/>
  <c r="L25" i="14" s="1"/>
  <c r="AE12" i="11"/>
  <c r="M12" i="11" s="1"/>
  <c r="L12" i="11" s="1"/>
  <c r="AE17" i="11"/>
  <c r="M17" i="11" s="1"/>
  <c r="L17" i="11" s="1"/>
  <c r="I42" i="14"/>
  <c r="J42" i="14" s="1"/>
  <c r="K42" i="14" s="1"/>
  <c r="L42" i="14" s="1"/>
  <c r="I6" i="14"/>
  <c r="J6" i="14" s="1"/>
  <c r="K6" i="14" s="1"/>
  <c r="L6" i="14" s="1"/>
  <c r="AE23" i="11"/>
  <c r="M23" i="11" s="1"/>
  <c r="L23" i="11" s="1"/>
  <c r="AE22" i="11"/>
  <c r="M22" i="11" s="1"/>
  <c r="L22" i="11" s="1"/>
  <c r="AA17" i="5"/>
  <c r="B17" i="8" s="1"/>
  <c r="AA16" i="5"/>
  <c r="AA15" i="5"/>
  <c r="AE18" i="11"/>
  <c r="M18" i="11" s="1"/>
  <c r="L18" i="11" s="1"/>
  <c r="I36" i="14"/>
  <c r="J36" i="14" s="1"/>
  <c r="K36" i="14" s="1"/>
  <c r="L36" i="14" s="1"/>
  <c r="I28" i="14"/>
  <c r="J28" i="14" s="1"/>
  <c r="K28" i="14" s="1"/>
  <c r="L28" i="14" s="1"/>
  <c r="AE21" i="11"/>
  <c r="M21" i="11" s="1"/>
  <c r="L21" i="11" s="1"/>
  <c r="I30" i="14"/>
  <c r="J30" i="14" s="1"/>
  <c r="K30" i="14" s="1"/>
  <c r="L30" i="14" s="1"/>
  <c r="I40" i="14"/>
  <c r="J40" i="14" s="1"/>
  <c r="K40" i="14" s="1"/>
  <c r="L40" i="14" s="1"/>
  <c r="AC27" i="13"/>
  <c r="AD6" i="13"/>
  <c r="AE6" i="13" s="1"/>
  <c r="F33" i="14"/>
  <c r="O24" i="13"/>
  <c r="P24" i="13"/>
  <c r="F34" i="14" s="1"/>
  <c r="N28" i="13"/>
  <c r="AE4" i="13" s="1"/>
  <c r="O27" i="13" s="1"/>
  <c r="AD27" i="13"/>
  <c r="AE16" i="11"/>
  <c r="M16" i="11" s="1"/>
  <c r="L16" i="11" s="1"/>
  <c r="I19" i="14"/>
  <c r="J19" i="14" s="1"/>
  <c r="K19" i="14" s="1"/>
  <c r="L19" i="14" s="1"/>
  <c r="I43" i="14"/>
  <c r="J43" i="14" s="1"/>
  <c r="K43" i="14" s="1"/>
  <c r="L43" i="14" s="1"/>
  <c r="I18" i="14"/>
  <c r="J18" i="14" s="1"/>
  <c r="K18" i="14" s="1"/>
  <c r="L18" i="14" s="1"/>
  <c r="I20" i="14"/>
  <c r="J20" i="14" s="1"/>
  <c r="K20" i="14" s="1"/>
  <c r="L20" i="14" s="1"/>
  <c r="I44" i="14"/>
  <c r="J44" i="14" s="1"/>
  <c r="K44" i="14" s="1"/>
  <c r="L44" i="14" s="1"/>
  <c r="AA34" i="5"/>
  <c r="B20" i="8" s="1"/>
  <c r="I45" i="14"/>
  <c r="J45" i="14" s="1"/>
  <c r="K45" i="14" s="1"/>
  <c r="L45" i="14" s="1"/>
  <c r="I14" i="14"/>
  <c r="J14" i="14" s="1"/>
  <c r="K14" i="14" s="1"/>
  <c r="L14" i="14" s="1"/>
  <c r="I37" i="14"/>
  <c r="J37" i="14" s="1"/>
  <c r="K37" i="14" s="1"/>
  <c r="L37" i="14" s="1"/>
  <c r="I26" i="14"/>
  <c r="J26" i="14" s="1"/>
  <c r="K26" i="14" s="1"/>
  <c r="L26" i="14" s="1"/>
  <c r="I27" i="14"/>
  <c r="J27" i="14" s="1"/>
  <c r="K27" i="14" s="1"/>
  <c r="L27" i="14" s="1"/>
  <c r="I24" i="14"/>
  <c r="J24" i="14" s="1"/>
  <c r="K24" i="14" s="1"/>
  <c r="L24" i="14" s="1"/>
  <c r="AE14" i="11"/>
  <c r="I21" i="14"/>
  <c r="J21" i="14" s="1"/>
  <c r="K21" i="14" s="1"/>
  <c r="L21" i="14" s="1"/>
  <c r="I10" i="14"/>
  <c r="J10" i="14" s="1"/>
  <c r="K10" i="14" s="1"/>
  <c r="L10" i="14" s="1"/>
  <c r="I15" i="14"/>
  <c r="J15" i="14" s="1"/>
  <c r="K15" i="14" s="1"/>
  <c r="L15" i="14" s="1"/>
  <c r="AE19" i="11"/>
  <c r="M19" i="11" s="1"/>
  <c r="L19" i="11" s="1"/>
  <c r="I33" i="14"/>
  <c r="J33" i="14" s="1"/>
  <c r="K33" i="14" s="1"/>
  <c r="L33" i="14" s="1"/>
  <c r="I7" i="14"/>
  <c r="J7" i="14" s="1"/>
  <c r="K7" i="14" s="1"/>
  <c r="L7" i="14" s="1"/>
  <c r="I34" i="14"/>
  <c r="J34" i="14" s="1"/>
  <c r="K34" i="14" s="1"/>
  <c r="L34" i="14" s="1"/>
  <c r="I29" i="14"/>
  <c r="J29" i="14" s="1"/>
  <c r="K29" i="14" s="1"/>
  <c r="L29" i="14" s="1"/>
  <c r="I8" i="14"/>
  <c r="J8" i="14" s="1"/>
  <c r="K8" i="14" s="1"/>
  <c r="L8" i="14" s="1"/>
  <c r="AE15" i="11"/>
  <c r="M15" i="11" s="1"/>
  <c r="L15" i="11" s="1"/>
  <c r="I39" i="14"/>
  <c r="J39" i="14" s="1"/>
  <c r="K39" i="14" s="1"/>
  <c r="L39" i="14" s="1"/>
  <c r="I13" i="14"/>
  <c r="J13" i="14" s="1"/>
  <c r="K13" i="14" s="1"/>
  <c r="L13" i="14" s="1"/>
  <c r="I9" i="14"/>
  <c r="J9" i="14" s="1"/>
  <c r="K9" i="14" s="1"/>
  <c r="L9" i="14" s="1"/>
  <c r="I38" i="14"/>
  <c r="J38" i="14" s="1"/>
  <c r="K38" i="14" s="1"/>
  <c r="L38" i="14" s="1"/>
  <c r="I41" i="14"/>
  <c r="J41" i="14" s="1"/>
  <c r="K41" i="14" s="1"/>
  <c r="L41" i="14" s="1"/>
  <c r="I31" i="14"/>
  <c r="J31" i="14" s="1"/>
  <c r="K31" i="14" s="1"/>
  <c r="L31" i="14" s="1"/>
  <c r="I32" i="14"/>
  <c r="J32" i="14" s="1"/>
  <c r="K32" i="14" s="1"/>
  <c r="L32" i="14" s="1"/>
  <c r="V173" i="8" a="1"/>
  <c r="V173" i="8" s="1"/>
  <c r="U168" i="8"/>
  <c r="I11" i="14"/>
  <c r="J11" i="14" s="1"/>
  <c r="K11" i="14" s="1"/>
  <c r="L11" i="14" s="1"/>
  <c r="I22" i="14"/>
  <c r="J22" i="14" s="1"/>
  <c r="K22" i="14" s="1"/>
  <c r="L22" i="14" s="1"/>
  <c r="I17" i="14"/>
  <c r="J17" i="14" s="1"/>
  <c r="K17" i="14" s="1"/>
  <c r="L17" i="14" s="1"/>
  <c r="I16" i="14"/>
  <c r="J16" i="14" s="1"/>
  <c r="K16" i="14" s="1"/>
  <c r="L16" i="14" s="1"/>
  <c r="F32" i="14" l="1"/>
  <c r="N27" i="13"/>
  <c r="E32" i="14" s="1"/>
  <c r="W173" i="8" a="1"/>
  <c r="W173" i="8" s="1"/>
  <c r="V168" i="8"/>
  <c r="AA14" i="11"/>
  <c r="AM14" i="13"/>
  <c r="T14" i="13" s="1"/>
  <c r="AD3" i="13" s="1"/>
  <c r="AD2" i="13" s="1"/>
  <c r="AJ14" i="13"/>
  <c r="R14" i="13" s="1"/>
  <c r="M26" i="13" s="1"/>
  <c r="D172" i="8" a="1"/>
  <c r="D172" i="8" s="1"/>
  <c r="T172" i="8" a="1"/>
  <c r="T172" i="8" s="1"/>
  <c r="G10" i="13"/>
  <c r="E33" i="14"/>
  <c r="N24" i="13"/>
  <c r="E34" i="14"/>
  <c r="W169" i="8"/>
  <c r="W165" i="8" s="1"/>
  <c r="X174" i="8"/>
  <c r="W170" i="8"/>
  <c r="D167" i="8" l="1"/>
  <c r="D171" i="8"/>
  <c r="D166" i="8" s="1"/>
  <c r="U172" i="8" a="1"/>
  <c r="U172" i="8" s="1"/>
  <c r="T167" i="8"/>
  <c r="T171" i="8"/>
  <c r="T166" i="8" s="1"/>
  <c r="W168" i="8"/>
  <c r="X173" i="8" a="1"/>
  <c r="X173" i="8" s="1"/>
  <c r="AA24" i="11"/>
  <c r="M14" i="11"/>
  <c r="Z14" i="11"/>
  <c r="Z24" i="11" s="1"/>
  <c r="M25" i="13"/>
  <c r="AE3" i="13"/>
  <c r="Y174" i="8"/>
  <c r="X169" i="8"/>
  <c r="X165" i="8" s="1"/>
  <c r="X170" i="8"/>
  <c r="X168" i="8" l="1"/>
  <c r="Y173" i="8" a="1"/>
  <c r="Y173" i="8" s="1"/>
  <c r="U167" i="8"/>
  <c r="V172" i="8" a="1"/>
  <c r="V172" i="8" s="1"/>
  <c r="U171" i="8"/>
  <c r="U166" i="8" s="1"/>
  <c r="M24" i="11"/>
  <c r="L14" i="11"/>
  <c r="L24" i="11" s="1"/>
  <c r="Y169" i="8"/>
  <c r="Y165" i="8" s="1"/>
  <c r="Y170" i="8"/>
  <c r="Z174" i="8"/>
  <c r="O26" i="13"/>
  <c r="AE2" i="13"/>
  <c r="L25" i="11" l="1"/>
  <c r="L10" i="11"/>
  <c r="M10" i="13" s="1"/>
  <c r="L25" i="13"/>
  <c r="D30" i="14" s="1"/>
  <c r="V167" i="8"/>
  <c r="W172" i="8" a="1"/>
  <c r="W172" i="8" s="1"/>
  <c r="V171" i="8"/>
  <c r="V166" i="8" s="1"/>
  <c r="Z170" i="8"/>
  <c r="AA174" i="8"/>
  <c r="Z169" i="8"/>
  <c r="Z165" i="8" s="1"/>
  <c r="Y168" i="8"/>
  <c r="Z173" i="8" a="1"/>
  <c r="Z173" i="8" s="1"/>
  <c r="L26" i="13"/>
  <c r="M25" i="11"/>
  <c r="M10" i="11"/>
  <c r="N10" i="13" s="1"/>
  <c r="F31" i="14"/>
  <c r="N26" i="13"/>
  <c r="E31" i="14" s="1"/>
  <c r="O25" i="13"/>
  <c r="AA173" i="8" l="1" a="1"/>
  <c r="AA173" i="8" s="1"/>
  <c r="Z168" i="8"/>
  <c r="W167" i="8"/>
  <c r="X172" i="8" a="1"/>
  <c r="X172" i="8" s="1"/>
  <c r="W171" i="8"/>
  <c r="W166" i="8" s="1"/>
  <c r="N25" i="13"/>
  <c r="E30" i="14" s="1"/>
  <c r="F30" i="14"/>
  <c r="AB174" i="8"/>
  <c r="AA169" i="8"/>
  <c r="AA165" i="8" s="1"/>
  <c r="AA170" i="8"/>
  <c r="G9" i="11"/>
  <c r="D31" i="14"/>
  <c r="AC26" i="13"/>
  <c r="AD26" i="13"/>
  <c r="Y172" i="8" l="1" a="1"/>
  <c r="Y172" i="8" s="1"/>
  <c r="X167" i="8"/>
  <c r="X171" i="8"/>
  <c r="X166" i="8" s="1"/>
  <c r="AB169" i="8"/>
  <c r="AB165" i="8" s="1"/>
  <c r="AC174" i="8"/>
  <c r="AB170" i="8"/>
  <c r="AA168" i="8"/>
  <c r="AB173" i="8" a="1"/>
  <c r="AB173" i="8" s="1"/>
  <c r="AB168" i="8" l="1"/>
  <c r="AC173" i="8" a="1"/>
  <c r="AC173" i="8" s="1"/>
  <c r="AC170" i="8"/>
  <c r="AC169" i="8"/>
  <c r="AC165" i="8" s="1"/>
  <c r="AD174" i="8"/>
  <c r="Z172" i="8" a="1"/>
  <c r="Z172" i="8" s="1"/>
  <c r="Y167" i="8"/>
  <c r="Y171" i="8"/>
  <c r="Y166" i="8" s="1"/>
  <c r="AA172" i="8" l="1" a="1"/>
  <c r="AA172" i="8" s="1"/>
  <c r="Z167" i="8"/>
  <c r="Z171" i="8"/>
  <c r="Z166" i="8" s="1"/>
  <c r="AD173" i="8" a="1"/>
  <c r="AD173" i="8" s="1"/>
  <c r="AC168" i="8"/>
  <c r="AE174" i="8"/>
  <c r="AD170" i="8"/>
  <c r="AD169" i="8"/>
  <c r="AD165" i="8" s="1"/>
  <c r="J10" i="8" l="1"/>
  <c r="AF174" i="8"/>
  <c r="AE169" i="8"/>
  <c r="AE165" i="8" s="1"/>
  <c r="AE170" i="8"/>
  <c r="AE173" i="8" a="1"/>
  <c r="AE173" i="8" s="1"/>
  <c r="AE168" i="8" s="1"/>
  <c r="AD168" i="8"/>
  <c r="AA167" i="8"/>
  <c r="AB172" i="8" a="1"/>
  <c r="AB172" i="8" s="1"/>
  <c r="AA171" i="8"/>
  <c r="AA166" i="8" s="1"/>
  <c r="AC172" i="8" l="1" a="1"/>
  <c r="AC172" i="8" s="1"/>
  <c r="AB167" i="8"/>
  <c r="AB171" i="8"/>
  <c r="AB166" i="8" s="1"/>
  <c r="AC167" i="8" l="1"/>
  <c r="AD172" i="8" a="1"/>
  <c r="AD172" i="8" s="1"/>
  <c r="AC171" i="8"/>
  <c r="AC166" i="8" s="1"/>
  <c r="AE172" i="8" l="1" a="1"/>
  <c r="AE172" i="8" s="1"/>
  <c r="AD167" i="8"/>
  <c r="AD171" i="8"/>
  <c r="AD166" i="8" s="1"/>
  <c r="AE167" i="8" l="1"/>
  <c r="AF172" i="8"/>
  <c r="AE171" i="8"/>
  <c r="AE166" i="8" l="1"/>
  <c r="AF171" i="8"/>
  <c r="AF173" i="8" s="1"/>
</calcChain>
</file>

<file path=xl/sharedStrings.xml><?xml version="1.0" encoding="utf-8"?>
<sst xmlns="http://schemas.openxmlformats.org/spreadsheetml/2006/main" count="2360" uniqueCount="483">
  <si>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</si>
  <si>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</si>
  <si>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</si>
  <si>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</si>
  <si>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</si>
  <si>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</si>
  <si>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</si>
  <si>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</si>
  <si>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</si>
  <si>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</si>
  <si>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</si>
  <si>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</si>
  <si>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</si>
  <si>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</si>
  <si>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</si>
  <si>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</si>
  <si>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</si>
  <si>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</si>
  <si>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</si>
  <si>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</si>
  <si>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</si>
  <si>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</si>
  <si>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</si>
  <si>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</si>
  <si>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</si>
  <si>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</si>
  <si>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</si>
  <si>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</si>
  <si>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</si>
  <si>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</si>
  <si>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</si>
  <si>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</si>
  <si>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</si>
  <si>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</si>
  <si>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</si>
  <si>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</si>
  <si>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</si>
  <si>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</si>
  <si>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</si>
  <si>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</si>
  <si>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</si>
  <si>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</si>
  <si>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</si>
  <si>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</si>
  <si>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</si>
  <si>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</si>
  <si>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</si>
  <si>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</si>
  <si>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</si>
  <si>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</si>
  <si>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</si>
  <si>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</si>
  <si>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</si>
  <si>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</si>
  <si>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</si>
  <si>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</si>
  <si>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</si>
  <si>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</si>
  <si>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</si>
  <si>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</si>
  <si>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</si>
  <si>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</si>
  <si>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</si>
  <si>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</si>
  <si>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</si>
  <si>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</si>
  <si>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</si>
  <si>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</si>
  <si>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</si>
  <si>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</si>
  <si>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</si>
  <si>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</si>
  <si>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</si>
  <si>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</si>
  <si>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</si>
  <si>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</si>
  <si>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</si>
  <si>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</si>
  <si>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</si>
  <si>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</si>
  <si>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</si>
  <si>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</si>
  <si>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</si>
  <si>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</si>
  <si>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</si>
  <si>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</si>
  <si>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</si>
  <si>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</si>
  <si>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</si>
  <si>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</si>
  <si>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</si>
  <si>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</si>
  <si>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</si>
  <si>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</si>
  <si>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</si>
  <si>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</si>
  <si>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</si>
  <si>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</si>
  <si>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</si>
  <si>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</si>
  <si>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</si>
  <si>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</si>
  <si>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</si>
  <si>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</si>
  <si>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</si>
  <si>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</si>
  <si>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</si>
  <si>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</si>
  <si>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</si>
  <si>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</si>
  <si>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</si>
  <si>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</si>
  <si>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</si>
  <si>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</si>
  <si>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</si>
  <si>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</si>
  <si>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</si>
  <si>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</si>
  <si>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</si>
  <si>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</si>
  <si>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</si>
  <si>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</si>
  <si>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</si>
  <si>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</si>
  <si>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</si>
  <si>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</si>
  <si>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</si>
  <si>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</si>
  <si>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</si>
  <si>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</si>
  <si>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</si>
  <si>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</si>
  <si>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</si>
  <si>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</si>
  <si>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</si>
  <si>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</si>
  <si>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</si>
  <si>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</si>
  <si>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</si>
  <si>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</si>
  <si>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</si>
  <si>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</si>
  <si>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</si>
  <si>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</si>
  <si>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</si>
  <si>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</si>
  <si>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</si>
  <si>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</si>
  <si>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</si>
  <si>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</si>
  <si>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</si>
  <si>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</si>
  <si>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</si>
  <si>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</si>
  <si>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</si>
  <si>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</si>
  <si>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</si>
  <si>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</si>
  <si>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</si>
  <si>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</si>
  <si>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</si>
  <si>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</si>
  <si>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</si>
  <si>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</si>
  <si>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</si>
  <si>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</si>
  <si>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</si>
  <si>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</si>
  <si>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</si>
  <si>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</si>
  <si>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</si>
  <si>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</si>
  <si>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</si>
  <si>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</si>
  <si>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</si>
  <si>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</si>
  <si>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</si>
  <si>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</si>
  <si>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</si>
  <si>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</si>
  <si>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</si>
  <si>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</si>
  <si>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</si>
  <si>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</si>
  <si>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</si>
  <si>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</si>
  <si>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</si>
  <si>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</si>
  <si>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</si>
  <si>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</si>
  <si>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</si>
  <si>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</si>
  <si>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</si>
  <si>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</si>
  <si>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</si>
  <si>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</si>
  <si>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</si>
  <si>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</si>
  <si>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</si>
  <si>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</si>
  <si>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</si>
  <si>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</si>
  <si>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</si>
  <si>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</si>
  <si>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</si>
  <si>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</si>
  <si>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</si>
  <si>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</si>
  <si>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</si>
  <si>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</si>
  <si>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</si>
  <si>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</si>
  <si>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</si>
  <si>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</si>
  <si>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</si>
  <si>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</si>
  <si>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</si>
  <si>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</si>
  <si>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</si>
  <si>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</si>
  <si>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</si>
  <si>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</si>
  <si>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</si>
  <si>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</si>
  <si>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</si>
  <si>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</si>
  <si>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</si>
  <si>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</si>
  <si>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</si>
  <si>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</si>
  <si>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</si>
  <si>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</si>
  <si>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</si>
  <si>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</si>
  <si>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</si>
  <si>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</si>
  <si>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</si>
  <si>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</si>
  <si>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</si>
  <si>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</si>
  <si>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</si>
  <si>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</si>
  <si>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</si>
  <si>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</si>
  <si>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</si>
  <si>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</si>
  <si>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</si>
  <si>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</si>
  <si>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</si>
  <si>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</si>
  <si>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</si>
  <si>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</si>
  <si>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</si>
  <si>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</si>
  <si>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</si>
  <si>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</si>
  <si>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</si>
  <si>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</si>
  <si>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</si>
  <si>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</si>
  <si>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</si>
  <si>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</si>
  <si>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</si>
  <si>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</si>
  <si>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</si>
  <si>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</si>
  <si>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</si>
  <si>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</si>
  <si>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</si>
  <si>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</si>
  <si>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</si>
  <si>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</si>
  <si>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</si>
  <si>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</si>
  <si>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</si>
  <si>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</si>
  <si>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</si>
  <si>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</si>
  <si>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</si>
  <si>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</si>
  <si>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</si>
  <si>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</si>
  <si>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</si>
  <si>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</si>
  <si>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</si>
  <si>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</si>
  <si>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</si>
  <si>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</si>
  <si>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</si>
  <si>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</si>
  <si>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</si>
  <si>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</si>
  <si>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</si>
  <si>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</si>
  <si>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</si>
  <si>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</si>
  <si>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</si>
  <si>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</si>
  <si>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</si>
  <si>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</si>
  <si>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</si>
  <si>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</si>
  <si>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</si>
  <si>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</si>
  <si>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</si>
  <si>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</si>
  <si>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</si>
  <si>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</si>
  <si>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</si>
  <si>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</si>
  <si>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</si>
  <si>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</si>
  <si>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</si>
  <si>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</si>
  <si>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</si>
  <si>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</si>
  <si>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</si>
  <si>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</si>
  <si>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</si>
  <si>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</si>
  <si>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</si>
  <si>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</si>
  <si>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</si>
  <si>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</si>
  <si>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</si>
  <si>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</si>
  <si>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</si>
  <si>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</si>
  <si>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</si>
  <si>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</si>
  <si>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</si>
  <si>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</si>
  <si>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</si>
  <si>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</si>
  <si>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</si>
  <si>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</si>
  <si>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</si>
  <si>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</si>
  <si>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</si>
  <si>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</si>
  <si>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</si>
  <si>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</si>
  <si>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</si>
  <si>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</si>
  <si>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</si>
  <si>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</si>
  <si>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</si>
  <si>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</si>
  <si>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</si>
  <si>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</si>
  <si>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</si>
  <si>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</si>
  <si>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</si>
  <si>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</si>
  <si>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</si>
  <si>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</si>
  <si>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</si>
  <si>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</si>
  <si>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</si>
  <si>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</si>
  <si>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</si>
  <si>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</si>
  <si>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</si>
  <si>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</si>
  <si>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</si>
  <si>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</si>
  <si>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</si>
  <si>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</si>
  <si>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</si>
  <si>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</si>
  <si>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</si>
  <si>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</si>
  <si>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</si>
  <si>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</si>
  <si>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</si>
  <si>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</si>
  <si>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</si>
  <si>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</si>
  <si>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</si>
  <si>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</si>
  <si>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</si>
  <si>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</si>
  <si>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</si>
  <si>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</si>
  <si>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</si>
  <si>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</si>
  <si>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</si>
  <si>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</si>
  <si>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</si>
  <si>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</si>
  <si>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</si>
  <si>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</si>
  <si>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</si>
  <si>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</si>
  <si>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</si>
  <si>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</si>
  <si>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</si>
  <si>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</si>
  <si>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</si>
  <si>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</si>
  <si>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</si>
  <si>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</si>
  <si>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</si>
  <si>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</si>
  <si>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</si>
  <si>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</si>
  <si>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</si>
  <si>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</si>
  <si>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</si>
  <si>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</si>
  <si>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</si>
  <si>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</si>
  <si>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</si>
  <si>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</si>
  <si>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</si>
  <si>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</si>
  <si>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</si>
  <si>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</si>
  <si>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</si>
  <si>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</si>
  <si>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</si>
  <si>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</si>
  <si>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</si>
  <si>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</si>
  <si>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</si>
  <si>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</si>
  <si>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</si>
  <si>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</si>
  <si>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</si>
  <si>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</si>
  <si>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</si>
  <si>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</si>
  <si>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</si>
  <si>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</si>
  <si>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</si>
  <si>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</si>
  <si>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</si>
  <si>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</si>
  <si>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</si>
  <si>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</si>
  <si>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</si>
  <si>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</si>
  <si>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LAURINDO SPEROTTO</t>
  </si>
  <si>
    <t>SERVIÇOS PRELIMINARES</t>
  </si>
  <si>
    <t>SINAPI-I</t>
  </si>
  <si>
    <t>Automática</t>
  </si>
  <si>
    <t>2.</t>
  </si>
  <si>
    <t>META 01</t>
  </si>
  <si>
    <t>META 02</t>
  </si>
  <si>
    <t>META 03</t>
  </si>
  <si>
    <t>GIAN CARLOS BORTOLINI VALLI</t>
  </si>
  <si>
    <t>CREA 163755/D</t>
  </si>
  <si>
    <t>NÃO DESONERADO</t>
  </si>
  <si>
    <t>97645</t>
  </si>
  <si>
    <t>97644</t>
  </si>
  <si>
    <t>ESQUADRIAS</t>
  </si>
  <si>
    <t>Composição</t>
  </si>
  <si>
    <t>02</t>
  </si>
  <si>
    <t>98,00</t>
  </si>
  <si>
    <t>98,0</t>
  </si>
  <si>
    <t>11,60</t>
  </si>
  <si>
    <t>03</t>
  </si>
  <si>
    <t>98689</t>
  </si>
  <si>
    <t>45</t>
  </si>
  <si>
    <t>103356</t>
  </si>
  <si>
    <t>2,85</t>
  </si>
  <si>
    <t>87878</t>
  </si>
  <si>
    <t>87547</t>
  </si>
  <si>
    <t>95305</t>
  </si>
  <si>
    <t>96126</t>
  </si>
  <si>
    <t>5,70</t>
  </si>
  <si>
    <t>5,7</t>
  </si>
  <si>
    <t>93196</t>
  </si>
  <si>
    <t>93197</t>
  </si>
  <si>
    <t>88489</t>
  </si>
  <si>
    <t>97622</t>
  </si>
  <si>
    <t>PREFEITO</t>
  </si>
  <si>
    <t>PAÇO MUNICIPAL</t>
  </si>
  <si>
    <t>REFORMA DO PAÇO MUNICIPAL</t>
  </si>
  <si>
    <t>CÉU AZUL/PR</t>
  </si>
  <si>
    <t>PINTURAS E TEXTURAS</t>
  </si>
  <si>
    <t>ALVENARIA</t>
  </si>
  <si>
    <t>88488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</si>
</sst>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1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5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67" fillId="0" borderId="0" xfId="0" applyFont="1"/>
    <xf numFmtId="0" fontId="67" fillId="0" borderId="0" xfId="0" applyFont="1" applyAlignment="1">
      <alignment horizontal="center" vertic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6" sqref="E6"/>
    </sheetView>
  </sheetViews>
  <sheetFormatPr defaultRowHeight="12.75" x14ac:dyDescent="0.2"/>
  <cols>
    <col min="1" max="1" width="2.85546875" style="176" customWidth="1"/>
    <col min="2" max="2" width="5.7109375" style="176" customWidth="1"/>
    <col min="3" max="3" width="38.5703125" style="176" customWidth="1"/>
    <col min="4" max="4" width="5.7109375" style="176" customWidth="1"/>
    <col min="5" max="5" width="38.5703125" style="176" customWidth="1"/>
    <col min="6" max="6" width="5.7109375" style="176" customWidth="1"/>
    <col min="7" max="7" width="38.5703125" style="176" customWidth="1"/>
    <col min="8" max="8" width="5.7109375" style="176" customWidth="1"/>
    <col min="9" max="9" width="2.85546875" style="176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2"/>
      <c r="B1" s="622"/>
      <c r="C1" s="622"/>
      <c r="D1" s="622"/>
      <c r="E1" s="622"/>
      <c r="F1" s="622"/>
      <c r="G1" s="622"/>
      <c r="H1" s="622"/>
      <c r="I1" s="622"/>
      <c r="J1" t="s">
        <v>0</v>
      </c>
    </row>
    <row r="2" spans="1:15" ht="22.5" customHeight="1" x14ac:dyDescent="0.2">
      <c r="A2" s="622"/>
      <c r="B2" s="623"/>
      <c r="C2" s="623"/>
      <c r="D2" s="623"/>
      <c r="E2" s="660" t="str">
        <f>CHOOSE(MATCH(Objeto,{"PM","PO"}),"PLANILHA MÚLTIPLA ","PLANILHA ORÇAMENTÁRIA ")&amp; Versao</f>
        <v>PLANILHA MÚLTIPLA CÉU AZUL</v>
      </c>
      <c r="F2" s="660"/>
      <c r="G2" s="660"/>
      <c r="H2" s="624"/>
      <c r="I2" s="623"/>
      <c r="J2" t="s">
        <v>435</v>
      </c>
    </row>
    <row r="3" spans="1:15" ht="22.5" customHeight="1" x14ac:dyDescent="0.2">
      <c r="A3" s="622"/>
      <c r="B3" s="623"/>
      <c r="C3" s="623"/>
      <c r="D3" s="623"/>
      <c r="E3" s="660"/>
      <c r="F3" s="660"/>
      <c r="G3" s="660"/>
      <c r="H3" s="624"/>
      <c r="I3" s="623"/>
      <c r="O3" s="515">
        <v>1</v>
      </c>
    </row>
    <row r="4" spans="1:15" ht="17.100000000000001" customHeight="1" x14ac:dyDescent="0.2">
      <c r="A4" s="622"/>
      <c r="B4" s="623"/>
      <c r="C4" s="623"/>
      <c r="D4" s="623"/>
      <c r="E4" s="623"/>
      <c r="F4" s="625"/>
      <c r="G4" s="624"/>
      <c r="H4" s="624"/>
      <c r="I4" s="623"/>
      <c r="O4" s="515">
        <v>2</v>
      </c>
    </row>
    <row r="5" spans="1:15" ht="17.100000000000001" customHeight="1" thickBot="1" x14ac:dyDescent="0.25">
      <c r="A5" s="622"/>
      <c r="B5" s="623"/>
      <c r="C5" s="623"/>
      <c r="D5" s="623"/>
      <c r="E5" s="623"/>
      <c r="F5" s="625"/>
      <c r="G5" s="624"/>
      <c r="H5" s="624"/>
      <c r="I5" s="623"/>
      <c r="J5" s="529" t="s">
        <v>406</v>
      </c>
    </row>
    <row r="6" spans="1:15" ht="21" customHeight="1" thickBot="1" x14ac:dyDescent="0.25">
      <c r="A6" s="622"/>
      <c r="B6" s="626"/>
      <c r="C6" s="626"/>
      <c r="D6" s="626"/>
      <c r="E6" s="629" t="s">
        <v>399</v>
      </c>
      <c r="F6" s="627"/>
      <c r="G6" s="629" t="s">
        <v>400</v>
      </c>
      <c r="H6" s="626"/>
      <c r="I6" s="622"/>
      <c r="J6" s="529" t="s">
        <v>1</v>
      </c>
    </row>
    <row r="7" spans="1:15" x14ac:dyDescent="0.2">
      <c r="A7" s="622"/>
      <c r="B7" s="622"/>
      <c r="C7" s="622"/>
      <c r="D7" s="622"/>
      <c r="E7" s="622"/>
      <c r="F7" s="622"/>
      <c r="G7" s="622"/>
      <c r="H7" s="622"/>
      <c r="I7" s="622"/>
      <c r="J7" s="529" t="s">
        <v>363</v>
      </c>
      <c r="K7" s="518"/>
      <c r="L7" s="519"/>
      <c r="M7" s="519"/>
      <c r="N7" s="520"/>
    </row>
    <row r="8" spans="1:15" ht="21" customHeight="1" x14ac:dyDescent="0.2">
      <c r="A8" s="623"/>
      <c r="B8" s="659" t="str">
        <f>IF($O$3&lt;&gt;2,"DOCUMENTAÇÃO DA PROPOSTA","PROPOSTA: Para visualizar/preencher esta seção, altere o TIPO DE ORÇAMENTO para 'Proposto'")</f>
        <v>DOCUMENTAÇÃO DA PROPOSTA</v>
      </c>
      <c r="C8" s="659"/>
      <c r="D8" s="659"/>
      <c r="E8" s="659"/>
      <c r="F8" s="659"/>
      <c r="G8" s="659"/>
      <c r="H8" s="659"/>
      <c r="I8" s="622"/>
      <c r="J8" s="529" t="s">
        <v>4</v>
      </c>
      <c r="K8" s="521"/>
      <c r="L8" s="522" t="s">
        <v>401</v>
      </c>
      <c r="M8" s="522"/>
      <c r="N8" s="523"/>
    </row>
    <row r="9" spans="1:15" ht="13.5" thickBot="1" x14ac:dyDescent="0.25">
      <c r="A9" s="622"/>
      <c r="B9" s="622"/>
      <c r="C9" s="622"/>
      <c r="D9" s="622"/>
      <c r="E9" s="622"/>
      <c r="F9" s="622"/>
      <c r="G9" s="622"/>
      <c r="H9" s="622"/>
      <c r="I9" s="622"/>
      <c r="K9" s="521"/>
      <c r="L9" s="100" t="s">
        <v>404</v>
      </c>
      <c r="M9" s="100"/>
      <c r="N9" s="523"/>
    </row>
    <row r="10" spans="1:15" ht="21" customHeight="1" thickBot="1" x14ac:dyDescent="0.25">
      <c r="A10" s="622"/>
      <c r="B10" s="622"/>
      <c r="C10" s="631" t="str">
        <f>IF(TIPOORCAMENTO&lt;&gt;"Proposto","","                    BDI                    ")</f>
        <v xml:space="preserve">                    BDI                    </v>
      </c>
      <c r="D10" s="628"/>
      <c r="E10" s="631" t="str">
        <f>IF(TIPOORCAMENTO&lt;&gt;"Proposto","","             ORÇAMENTO             ")</f>
        <v xml:space="preserve">             ORÇAMENTO             </v>
      </c>
      <c r="F10" s="628"/>
      <c r="G10" s="630" t="str">
        <f>IF(TIPOORCAMENTO&lt;&gt;"Proposto","","MEMÓRIA DE CÁLCULO / PLQ")</f>
        <v>MEMÓRIA DE CÁLCULO / PLQ</v>
      </c>
      <c r="H10" s="622"/>
      <c r="I10" s="622"/>
      <c r="K10" s="521"/>
      <c r="L10" s="6"/>
      <c r="M10" s="4"/>
      <c r="N10" s="524" t="s">
        <v>2</v>
      </c>
    </row>
    <row r="11" spans="1:15" ht="13.5" thickBot="1" x14ac:dyDescent="0.25">
      <c r="A11" s="622"/>
      <c r="B11" s="622"/>
      <c r="C11" s="628"/>
      <c r="D11" s="628"/>
      <c r="E11" s="628"/>
      <c r="F11" s="628"/>
      <c r="G11" s="628"/>
      <c r="H11" s="622"/>
      <c r="I11" s="622"/>
      <c r="K11" s="521"/>
      <c r="L11" s="3"/>
      <c r="M11" s="3"/>
      <c r="N11" s="525"/>
    </row>
    <row r="12" spans="1:15" ht="21" customHeight="1" thickBot="1" x14ac:dyDescent="0.25">
      <c r="A12" s="622"/>
      <c r="B12" s="622"/>
      <c r="C12" s="631" t="str">
        <f>IF(TIPOORCAMENTO&lt;&gt;"Proposto","","                    QCI                    ")</f>
        <v xml:space="preserve">                    QCI                    </v>
      </c>
      <c r="D12" s="628"/>
      <c r="E12" s="632" t="str">
        <f>IF(TIPOORCAMENTO&lt;&gt;"Proposto","","CRONOGRAMA FÍSICO-FINANCEIRO")</f>
        <v>CRONOGRAMA FÍSICO-FINANCEIRO</v>
      </c>
      <c r="F12" s="628"/>
      <c r="G12" s="628"/>
      <c r="H12" s="622"/>
      <c r="I12" s="622"/>
      <c r="K12" s="521"/>
      <c r="L12" s="7"/>
      <c r="M12" s="4"/>
      <c r="N12" s="524" t="s">
        <v>3</v>
      </c>
    </row>
    <row r="13" spans="1:15" x14ac:dyDescent="0.2">
      <c r="A13" s="622"/>
      <c r="B13" s="622"/>
      <c r="C13" s="622"/>
      <c r="D13" s="622"/>
      <c r="E13" s="622"/>
      <c r="F13" s="622"/>
      <c r="G13" s="622"/>
      <c r="H13" s="622"/>
      <c r="I13" s="622"/>
      <c r="K13" s="521"/>
      <c r="L13" s="100"/>
      <c r="M13" s="100"/>
      <c r="N13" s="523"/>
    </row>
    <row r="14" spans="1:15" x14ac:dyDescent="0.2">
      <c r="A14" s="622"/>
      <c r="B14" s="622"/>
      <c r="C14" s="622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05-2023.xls.</v>
      </c>
      <c r="D14" s="622"/>
      <c r="E14" s="622"/>
      <c r="F14" s="622"/>
      <c r="G14" s="622"/>
      <c r="H14" s="622"/>
      <c r="I14" s="622"/>
      <c r="K14" s="521"/>
      <c r="L14" s="100"/>
      <c r="M14" s="100"/>
      <c r="N14" s="523"/>
    </row>
    <row r="15" spans="1:15" x14ac:dyDescent="0.2">
      <c r="A15" s="622"/>
      <c r="B15" s="622"/>
      <c r="C15" s="622"/>
      <c r="D15" s="622"/>
      <c r="E15" s="622"/>
      <c r="F15" s="622"/>
      <c r="G15" s="622"/>
      <c r="H15" s="622"/>
      <c r="I15" s="622"/>
      <c r="K15" s="521"/>
      <c r="L15" s="100" t="s">
        <v>405</v>
      </c>
      <c r="M15" s="100"/>
      <c r="N15" s="523"/>
    </row>
    <row r="16" spans="1:15" ht="21" customHeight="1" x14ac:dyDescent="0.2">
      <c r="A16" s="622"/>
      <c r="B16" s="659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9"/>
      <c r="D16" s="659"/>
      <c r="E16" s="659"/>
      <c r="F16" s="659"/>
      <c r="G16" s="659"/>
      <c r="H16" s="659"/>
      <c r="I16" s="622"/>
      <c r="K16" s="521"/>
      <c r="L16" s="516"/>
      <c r="M16" s="4"/>
      <c r="N16" s="524" t="s">
        <v>402</v>
      </c>
    </row>
    <row r="17" spans="1:14" ht="13.5" thickBot="1" x14ac:dyDescent="0.25">
      <c r="A17" s="622"/>
      <c r="B17" s="622"/>
      <c r="C17" s="622"/>
      <c r="D17" s="622"/>
      <c r="E17" s="622"/>
      <c r="F17" s="622"/>
      <c r="G17" s="622"/>
      <c r="H17" s="622"/>
      <c r="I17" s="622"/>
      <c r="K17" s="521"/>
      <c r="L17" s="3"/>
      <c r="M17" s="3"/>
      <c r="N17" s="525"/>
    </row>
    <row r="18" spans="1:14" ht="21" customHeight="1" thickBot="1" x14ac:dyDescent="0.25">
      <c r="A18" s="622"/>
      <c r="B18" s="622"/>
      <c r="C18" s="631" t="str">
        <f>IF(TIPOORCAMENTO&lt;&gt;"Licitado","","             ORÇAMENTO             ")</f>
        <v/>
      </c>
      <c r="D18" s="628"/>
      <c r="E18" s="631" t="str">
        <f>IF(TIPOORCAMENTO&lt;&gt;"Licitado","","                    QCI                    ")</f>
        <v/>
      </c>
      <c r="F18" s="628"/>
      <c r="G18" s="632" t="str">
        <f>IF(TIPOORCAMENTO&lt;&gt;"Licitado","","CRONOGRAMA FÍSICO-FINANCEIRO")</f>
        <v/>
      </c>
      <c r="H18" s="622"/>
      <c r="I18" s="622"/>
      <c r="K18" s="521"/>
      <c r="L18" s="517"/>
      <c r="M18" s="4"/>
      <c r="N18" s="524" t="s">
        <v>403</v>
      </c>
    </row>
    <row r="19" spans="1:14" x14ac:dyDescent="0.2">
      <c r="A19" s="622"/>
      <c r="B19" s="622"/>
      <c r="C19" s="622"/>
      <c r="D19" s="622"/>
      <c r="E19" s="622"/>
      <c r="F19" s="622"/>
      <c r="G19" s="622"/>
      <c r="H19" s="622"/>
      <c r="I19" s="622"/>
      <c r="K19" s="526"/>
      <c r="L19" s="527"/>
      <c r="M19" s="527"/>
      <c r="N19" s="528"/>
    </row>
    <row r="20" spans="1:14" ht="21" customHeight="1" x14ac:dyDescent="0.2">
      <c r="A20" s="623"/>
      <c r="B20" s="659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9"/>
      <c r="D20" s="659"/>
      <c r="E20" s="659"/>
      <c r="F20" s="659"/>
      <c r="G20" s="659"/>
      <c r="H20" s="659"/>
      <c r="I20" s="622"/>
    </row>
    <row r="21" spans="1:14" ht="13.5" thickBot="1" x14ac:dyDescent="0.25">
      <c r="A21" s="622"/>
      <c r="B21" s="622"/>
      <c r="C21" s="622"/>
      <c r="D21" s="622"/>
      <c r="E21" s="622"/>
      <c r="F21" s="622"/>
      <c r="G21" s="622"/>
      <c r="H21" s="622"/>
      <c r="I21" s="622"/>
    </row>
    <row r="22" spans="1:14" ht="21" customHeight="1" thickBot="1" x14ac:dyDescent="0.25">
      <c r="A22" s="622"/>
      <c r="B22" s="622"/>
      <c r="C22" s="633" t="str">
        <f>IF(OR(TIPOORCAMENTO&lt;&gt;"Licitado",ACOMPANHAMENTO&lt;&gt;"PLE"),"","PLAN. DE LEVANT. DE EVENTOS - PLE")</f>
        <v/>
      </c>
      <c r="D22" s="628"/>
      <c r="E22" s="631" t="str">
        <f>IF(TIPOORCAMENTO&lt;&gt;"Licitado","","                    RRE                    ")</f>
        <v/>
      </c>
      <c r="F22" s="628"/>
      <c r="G22" s="630" t="str">
        <f>IF(OR(TIPOORCAMENTO&lt;&gt;"Licitado",ACOMPANHAMENTO&lt;&gt;"BM"),"","  BOLETIM DE MEDIÇÃO - BM  ")</f>
        <v/>
      </c>
      <c r="H22" s="622"/>
      <c r="I22" s="622"/>
    </row>
    <row r="23" spans="1:14" ht="13.5" thickBot="1" x14ac:dyDescent="0.25">
      <c r="A23" s="622"/>
      <c r="B23" s="622"/>
      <c r="C23" s="628"/>
      <c r="D23" s="628"/>
      <c r="E23" s="628"/>
      <c r="F23" s="628"/>
      <c r="G23" s="628"/>
      <c r="H23" s="622"/>
      <c r="I23" s="622"/>
    </row>
    <row r="24" spans="1:14" ht="21" customHeight="1" thickBot="1" x14ac:dyDescent="0.25">
      <c r="A24" s="622"/>
      <c r="B24" s="622"/>
      <c r="C24" s="628"/>
      <c r="D24" s="628"/>
      <c r="E24" s="633" t="str">
        <f>IF(TIPOORCAMENTO&lt;&gt;"Licitado","","OF. DE SOLICITAÇÃO DE DESBLOQUEIO")</f>
        <v/>
      </c>
      <c r="F24" s="628"/>
      <c r="G24" s="628"/>
      <c r="H24" s="622"/>
      <c r="I24" s="622"/>
    </row>
    <row r="25" spans="1:14" x14ac:dyDescent="0.2">
      <c r="A25" s="622"/>
      <c r="B25" s="622"/>
      <c r="C25" s="622"/>
      <c r="D25" s="622"/>
      <c r="E25" s="622"/>
      <c r="F25" s="622"/>
      <c r="G25" s="622"/>
      <c r="H25" s="622"/>
      <c r="I25" s="622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3" activePane="bottomLeft" state="frozen"/>
      <selection pane="bottomLeft" activeCell="AW36" sqref="AW36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2" t="s">
        <v>6</v>
      </c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1" t="s">
        <v>25</v>
      </c>
      <c r="F3" s="661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407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441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479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436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437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1" t="s">
        <v>101</v>
      </c>
      <c r="F15" s="661"/>
      <c r="J15" s="15" t="s">
        <v>20</v>
      </c>
    </row>
    <row r="16" spans="5:44" x14ac:dyDescent="0.2">
      <c r="E16" s="32" t="s">
        <v>102</v>
      </c>
      <c r="F16" s="33" t="s">
        <v>477</v>
      </c>
      <c r="J16" s="15" t="s">
        <v>21</v>
      </c>
    </row>
    <row r="17" spans="5:10" x14ac:dyDescent="0.2">
      <c r="E17" s="25" t="s">
        <v>103</v>
      </c>
      <c r="F17" s="34" t="s">
        <v>478</v>
      </c>
      <c r="J17" s="15" t="s">
        <v>22</v>
      </c>
    </row>
    <row r="18" spans="5:10" x14ac:dyDescent="0.2">
      <c r="E18" s="35" t="s">
        <v>104</v>
      </c>
      <c r="F18" s="36" t="s">
        <v>452</v>
      </c>
      <c r="J18" s="15" t="s">
        <v>23</v>
      </c>
    </row>
    <row r="19" spans="5:10" x14ac:dyDescent="0.2">
      <c r="E19" s="37" t="s">
        <v>105</v>
      </c>
      <c r="F19" s="38">
        <v>45047</v>
      </c>
      <c r="J19" s="15" t="s">
        <v>24</v>
      </c>
    </row>
    <row r="20" spans="5:10" x14ac:dyDescent="0.2">
      <c r="E20" s="39"/>
      <c r="F20" s="40"/>
      <c r="J20" s="15"/>
    </row>
    <row r="21" spans="5:10" ht="15.75" thickBot="1" x14ac:dyDescent="0.25">
      <c r="E21" s="661" t="s">
        <v>106</v>
      </c>
      <c r="F21" s="661"/>
      <c r="J21" s="15"/>
    </row>
    <row r="22" spans="5:10" ht="15.75" x14ac:dyDescent="0.25">
      <c r="E22" s="23" t="s">
        <v>107</v>
      </c>
      <c r="F22" s="657" t="s">
        <v>450</v>
      </c>
    </row>
    <row r="23" spans="5:10" ht="15.75" x14ac:dyDescent="0.2">
      <c r="E23" s="25" t="s">
        <v>108</v>
      </c>
      <c r="F23" s="658" t="s">
        <v>451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1">
        <v>45146</v>
      </c>
    </row>
    <row r="26" spans="5:10" x14ac:dyDescent="0.2">
      <c r="E26" s="39"/>
      <c r="F26" s="39"/>
    </row>
    <row r="27" spans="5:10" ht="15" x14ac:dyDescent="0.2">
      <c r="E27" s="661" t="s">
        <v>111</v>
      </c>
      <c r="F27" s="661"/>
    </row>
    <row r="28" spans="5:10" x14ac:dyDescent="0.2">
      <c r="E28" s="21" t="s">
        <v>107</v>
      </c>
      <c r="F28" s="42" t="s">
        <v>442</v>
      </c>
    </row>
    <row r="29" spans="5:10" x14ac:dyDescent="0.2">
      <c r="E29" s="29" t="s">
        <v>112</v>
      </c>
      <c r="F29" s="43" t="s">
        <v>476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3" t="s">
        <v>114</v>
      </c>
      <c r="F34" s="663"/>
    </row>
    <row r="35" spans="5:6" x14ac:dyDescent="0.2">
      <c r="E35" s="21" t="s">
        <v>115</v>
      </c>
      <c r="F35" s="44"/>
    </row>
    <row r="36" spans="5:6" x14ac:dyDescent="0.2">
      <c r="E36" s="45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407</v>
      </c>
    </row>
    <row r="40" spans="5:6" x14ac:dyDescent="0.2">
      <c r="E40" s="46" t="s">
        <v>120</v>
      </c>
      <c r="F40" s="47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1" t="s">
        <v>122</v>
      </c>
      <c r="F45" s="661"/>
    </row>
    <row r="46" spans="5:6" x14ac:dyDescent="0.2">
      <c r="E46" s="21" t="s">
        <v>123</v>
      </c>
      <c r="F46" s="44"/>
    </row>
    <row r="47" spans="5:6" x14ac:dyDescent="0.2">
      <c r="E47" s="37" t="s">
        <v>124</v>
      </c>
      <c r="F47" s="48">
        <f ca="1">TODAY()</f>
        <v>45208</v>
      </c>
    </row>
    <row r="48" spans="5:6" ht="15.75" x14ac:dyDescent="0.2">
      <c r="E48" s="10"/>
    </row>
    <row r="49" spans="5:6" ht="12.75" customHeight="1" x14ac:dyDescent="0.2">
      <c r="E49" s="661" t="s">
        <v>125</v>
      </c>
      <c r="F49" s="661"/>
    </row>
    <row r="50" spans="5:6" x14ac:dyDescent="0.2">
      <c r="E50" s="21" t="s">
        <v>107</v>
      </c>
      <c r="F50" s="49"/>
    </row>
    <row r="51" spans="5:6" x14ac:dyDescent="0.2">
      <c r="E51" s="25" t="s">
        <v>126</v>
      </c>
      <c r="F51" s="26"/>
    </row>
    <row r="52" spans="5:6" x14ac:dyDescent="0.2">
      <c r="E52" s="25" t="s">
        <v>127</v>
      </c>
      <c r="F52" s="26"/>
    </row>
    <row r="53" spans="5:6" x14ac:dyDescent="0.2">
      <c r="E53" s="29" t="s">
        <v>128</v>
      </c>
      <c r="F53" s="50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1" t="s">
        <v>130</v>
      </c>
      <c r="F58" s="661"/>
    </row>
    <row r="59" spans="5:6" x14ac:dyDescent="0.2">
      <c r="E59" s="21" t="s">
        <v>107</v>
      </c>
      <c r="F59" s="51"/>
    </row>
    <row r="60" spans="5:6" ht="13.5" thickBot="1" x14ac:dyDescent="0.25">
      <c r="E60" s="37" t="s">
        <v>131</v>
      </c>
      <c r="F60" s="52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Normal="100" workbookViewId="0">
      <pane ySplit="3" topLeftCell="A31" activePane="bottomLeft" state="frozen"/>
      <selection pane="bottomLeft" activeCell="L59" sqref="L59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3" t="s">
        <v>132</v>
      </c>
    </row>
    <row r="5" spans="1:4" ht="18.75" x14ac:dyDescent="0.3">
      <c r="A5" s="54"/>
      <c r="B5" s="55"/>
      <c r="C5" s="55"/>
      <c r="D5" s="56"/>
    </row>
    <row r="6" spans="1:4" ht="18.75" x14ac:dyDescent="0.3">
      <c r="A6" s="57" t="s">
        <v>133</v>
      </c>
      <c r="B6" s="58"/>
      <c r="C6" s="58"/>
      <c r="D6" s="39"/>
    </row>
    <row r="7" spans="1:4" ht="15" x14ac:dyDescent="0.25">
      <c r="A7" s="59"/>
      <c r="B7" s="60" t="s">
        <v>134</v>
      </c>
      <c r="C7" s="60"/>
      <c r="D7" s="39"/>
    </row>
    <row r="8" spans="1:4" ht="15" x14ac:dyDescent="0.25">
      <c r="A8" s="59"/>
      <c r="B8" s="60"/>
      <c r="C8" s="61" t="str">
        <f>IF(D8&lt;&gt;"","▪","")</f>
        <v>▪</v>
      </c>
      <c r="D8" s="39" t="s">
        <v>135</v>
      </c>
    </row>
    <row r="9" spans="1:4" ht="15" x14ac:dyDescent="0.25">
      <c r="A9" s="59"/>
      <c r="B9" s="62"/>
      <c r="C9" s="63" t="str">
        <f>IF(D9&lt;&gt;"","▪","")</f>
        <v/>
      </c>
      <c r="D9" s="64"/>
    </row>
    <row r="10" spans="1:4" ht="18.75" x14ac:dyDescent="0.3">
      <c r="A10" s="613" t="s">
        <v>409</v>
      </c>
      <c r="B10" s="614"/>
      <c r="C10" s="614"/>
      <c r="D10" s="615"/>
    </row>
    <row r="11" spans="1:4" ht="15" x14ac:dyDescent="0.25">
      <c r="A11" s="59"/>
      <c r="B11" s="60" t="s">
        <v>134</v>
      </c>
      <c r="C11" s="60"/>
      <c r="D11" s="39"/>
    </row>
    <row r="12" spans="1:4" ht="15" x14ac:dyDescent="0.25">
      <c r="A12" s="59"/>
      <c r="B12" s="60"/>
      <c r="C12" s="61" t="str">
        <f>IF(D12&lt;&gt;"","▪","")</f>
        <v>▪</v>
      </c>
      <c r="D12" s="39" t="s">
        <v>412</v>
      </c>
    </row>
    <row r="13" spans="1:4" ht="15" x14ac:dyDescent="0.25">
      <c r="A13" s="59"/>
      <c r="B13" s="60" t="s">
        <v>410</v>
      </c>
      <c r="C13" s="60"/>
      <c r="D13" s="39"/>
    </row>
    <row r="14" spans="1:4" ht="15" x14ac:dyDescent="0.25">
      <c r="A14" s="523"/>
      <c r="B14" s="60"/>
      <c r="C14" s="61" t="str">
        <f>IF(D14&lt;&gt;"","▪","")</f>
        <v>▪</v>
      </c>
      <c r="D14" s="39" t="s">
        <v>413</v>
      </c>
    </row>
    <row r="15" spans="1:4" ht="15" x14ac:dyDescent="0.2">
      <c r="A15" s="523"/>
      <c r="C15" s="61" t="str">
        <f>IF(D15&lt;&gt;"","▪","")</f>
        <v>▪</v>
      </c>
      <c r="D15" s="39" t="s">
        <v>414</v>
      </c>
    </row>
    <row r="16" spans="1:4" x14ac:dyDescent="0.2">
      <c r="A16" s="528"/>
    </row>
    <row r="17" spans="1:4" ht="18.75" x14ac:dyDescent="0.3">
      <c r="A17" s="613" t="s">
        <v>416</v>
      </c>
      <c r="B17" s="614"/>
      <c r="C17" s="614"/>
      <c r="D17" s="615"/>
    </row>
    <row r="18" spans="1:4" ht="15" x14ac:dyDescent="0.25">
      <c r="A18" s="59"/>
      <c r="B18" s="60" t="s">
        <v>134</v>
      </c>
      <c r="C18" s="60"/>
      <c r="D18" s="39"/>
    </row>
    <row r="19" spans="1:4" ht="15" x14ac:dyDescent="0.25">
      <c r="A19" s="59"/>
      <c r="B19" s="60"/>
      <c r="C19" s="61" t="str">
        <f>IF(D19&lt;&gt;"","▪","")</f>
        <v>▪</v>
      </c>
      <c r="D19" s="39" t="s">
        <v>412</v>
      </c>
    </row>
    <row r="20" spans="1:4" ht="15" x14ac:dyDescent="0.25">
      <c r="A20" s="59"/>
      <c r="B20" s="60"/>
      <c r="C20" s="61" t="str">
        <f>IF(D20&lt;&gt;"","▪","")</f>
        <v>▪</v>
      </c>
      <c r="D20" s="39" t="s">
        <v>425</v>
      </c>
    </row>
    <row r="21" spans="1:4" ht="15" x14ac:dyDescent="0.25">
      <c r="A21" s="523"/>
      <c r="B21" s="60" t="s">
        <v>423</v>
      </c>
      <c r="C21" s="60"/>
      <c r="D21" s="39"/>
    </row>
    <row r="22" spans="1:4" ht="15" x14ac:dyDescent="0.25">
      <c r="A22" s="523"/>
      <c r="B22" s="60"/>
      <c r="C22" s="61" t="str">
        <f>IF(D22&lt;&gt;"","▪","")</f>
        <v>▪</v>
      </c>
      <c r="D22" s="39" t="s">
        <v>424</v>
      </c>
    </row>
    <row r="23" spans="1:4" ht="15" x14ac:dyDescent="0.25">
      <c r="A23" s="523"/>
      <c r="B23" s="60" t="s">
        <v>417</v>
      </c>
      <c r="C23" s="60"/>
      <c r="D23" s="39"/>
    </row>
    <row r="24" spans="1:4" ht="15" x14ac:dyDescent="0.25">
      <c r="A24" s="523"/>
      <c r="B24" s="60"/>
      <c r="C24" s="61" t="str">
        <f>IF(D24&lt;&gt;"","▪","")</f>
        <v>▪</v>
      </c>
      <c r="D24" s="39" t="s">
        <v>421</v>
      </c>
    </row>
    <row r="25" spans="1:4" ht="15" x14ac:dyDescent="0.25">
      <c r="A25" s="523"/>
      <c r="B25" s="60" t="s">
        <v>418</v>
      </c>
      <c r="C25" s="60"/>
      <c r="D25" s="39"/>
    </row>
    <row r="26" spans="1:4" ht="15" x14ac:dyDescent="0.25">
      <c r="A26" s="523"/>
      <c r="B26" s="60"/>
      <c r="C26" s="61" t="str">
        <f>IF(D26&lt;&gt;"","▪","")</f>
        <v>▪</v>
      </c>
      <c r="D26" s="39" t="s">
        <v>420</v>
      </c>
    </row>
    <row r="27" spans="1:4" ht="15" x14ac:dyDescent="0.25">
      <c r="A27" s="523"/>
      <c r="B27" s="60" t="s">
        <v>422</v>
      </c>
      <c r="C27" s="60"/>
      <c r="D27" s="39"/>
    </row>
    <row r="28" spans="1:4" ht="15" x14ac:dyDescent="0.25">
      <c r="A28" s="523"/>
      <c r="B28" s="60"/>
      <c r="C28" s="61" t="str">
        <f>IF(D28&lt;&gt;"","▪","")</f>
        <v>▪</v>
      </c>
      <c r="D28" s="39" t="s">
        <v>419</v>
      </c>
    </row>
    <row r="29" spans="1:4" x14ac:dyDescent="0.2">
      <c r="A29" s="528"/>
    </row>
    <row r="30" spans="1:4" ht="18.75" x14ac:dyDescent="0.3">
      <c r="A30" s="613" t="s">
        <v>426</v>
      </c>
      <c r="B30" s="614"/>
      <c r="C30" s="614"/>
      <c r="D30" s="615"/>
    </row>
    <row r="31" spans="1:4" ht="15" x14ac:dyDescent="0.25">
      <c r="A31" s="59"/>
      <c r="B31" s="60" t="s">
        <v>134</v>
      </c>
      <c r="C31" s="60"/>
      <c r="D31" s="39"/>
    </row>
    <row r="32" spans="1:4" ht="15" x14ac:dyDescent="0.25">
      <c r="A32" s="59"/>
      <c r="B32" s="60"/>
      <c r="C32" s="61" t="str">
        <f>IF(D32&lt;&gt;"","▪","")</f>
        <v>▪</v>
      </c>
      <c r="D32" s="39" t="s">
        <v>425</v>
      </c>
    </row>
    <row r="33" spans="1:5" ht="15" x14ac:dyDescent="0.25">
      <c r="A33" s="59"/>
      <c r="B33" s="60" t="s">
        <v>427</v>
      </c>
      <c r="C33" s="61"/>
      <c r="D33" s="39"/>
    </row>
    <row r="34" spans="1:5" ht="15" x14ac:dyDescent="0.25">
      <c r="A34" s="59"/>
      <c r="B34" s="60"/>
      <c r="C34" s="61" t="str">
        <f>IF(D34&lt;&gt;"","▪","")</f>
        <v>▪</v>
      </c>
      <c r="D34" s="39" t="s">
        <v>428</v>
      </c>
    </row>
    <row r="35" spans="1:5" ht="15" x14ac:dyDescent="0.25">
      <c r="A35" s="59"/>
      <c r="B35" s="60"/>
      <c r="C35" s="60"/>
      <c r="D35" s="60"/>
      <c r="E35" s="60"/>
    </row>
    <row r="36" spans="1:5" x14ac:dyDescent="0.2">
      <c r="A36" s="528"/>
    </row>
    <row r="37" spans="1:5" ht="18.75" x14ac:dyDescent="0.3">
      <c r="A37" s="613" t="s">
        <v>429</v>
      </c>
      <c r="B37" s="614"/>
      <c r="C37" s="614"/>
      <c r="D37" s="615"/>
    </row>
    <row r="38" spans="1:5" ht="15" x14ac:dyDescent="0.25">
      <c r="A38" s="59"/>
      <c r="B38" s="60" t="s">
        <v>211</v>
      </c>
      <c r="C38" s="60"/>
      <c r="D38" s="39"/>
    </row>
    <row r="39" spans="1:5" ht="15" x14ac:dyDescent="0.25">
      <c r="A39" s="59"/>
      <c r="B39" s="60"/>
      <c r="C39" s="61" t="str">
        <f>IF(D39&lt;&gt;"","▪","")</f>
        <v>▪</v>
      </c>
      <c r="D39" s="39" t="s">
        <v>430</v>
      </c>
    </row>
    <row r="40" spans="1:5" ht="15" x14ac:dyDescent="0.25">
      <c r="A40" s="59"/>
      <c r="B40" s="60" t="s">
        <v>417</v>
      </c>
      <c r="C40" s="60"/>
      <c r="D40" s="39"/>
    </row>
    <row r="41" spans="1:5" ht="15" x14ac:dyDescent="0.25">
      <c r="A41" s="59"/>
      <c r="B41" s="60"/>
      <c r="C41" s="61" t="str">
        <f>IF(D41&lt;&gt;"","▪","")</f>
        <v>▪</v>
      </c>
      <c r="D41" s="39" t="s">
        <v>431</v>
      </c>
    </row>
    <row r="42" spans="1:5" ht="15" x14ac:dyDescent="0.25">
      <c r="A42" s="59"/>
      <c r="B42" s="60" t="s">
        <v>418</v>
      </c>
      <c r="C42" s="60"/>
      <c r="D42" s="39"/>
      <c r="E42" s="60"/>
    </row>
    <row r="43" spans="1:5" ht="15" x14ac:dyDescent="0.25">
      <c r="A43" s="59"/>
      <c r="B43" s="60"/>
      <c r="C43" s="61" t="str">
        <f>IF(D43&lt;&gt;"","▪","")</f>
        <v>▪</v>
      </c>
      <c r="D43" s="39" t="s">
        <v>432</v>
      </c>
    </row>
    <row r="44" spans="1:5" ht="15" x14ac:dyDescent="0.25">
      <c r="A44" s="59"/>
      <c r="B44" s="60"/>
      <c r="C44" s="60"/>
      <c r="D44" s="60"/>
    </row>
    <row r="45" spans="1:5" ht="18.75" x14ac:dyDescent="0.3">
      <c r="A45" s="613" t="s">
        <v>433</v>
      </c>
      <c r="B45" s="614"/>
      <c r="C45" s="614"/>
      <c r="D45" s="615"/>
    </row>
    <row r="46" spans="1:5" ht="15" x14ac:dyDescent="0.25">
      <c r="A46" s="59"/>
      <c r="B46" s="60" t="s">
        <v>134</v>
      </c>
      <c r="C46" s="60"/>
      <c r="D46" s="39"/>
    </row>
    <row r="47" spans="1:5" ht="15" x14ac:dyDescent="0.25">
      <c r="A47" s="59"/>
      <c r="B47" s="60"/>
      <c r="C47" s="61" t="str">
        <f>IF(D47&lt;&gt;"","▪","")</f>
        <v>▪</v>
      </c>
      <c r="D47" s="39" t="s">
        <v>434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tabSelected="1" zoomScale="90" zoomScaleNormal="90" zoomScaleSheetLayoutView="100" workbookViewId="0">
      <pane ySplit="11" topLeftCell="A12" activePane="bottomLeft" state="frozen"/>
      <selection activeCell="E1" sqref="E1"/>
      <selection pane="bottomLeft" activeCell="Z13" sqref="Z13"/>
    </sheetView>
  </sheetViews>
  <sheetFormatPr defaultRowHeight="12.75" x14ac:dyDescent="0.2"/>
  <cols>
    <col min="1" max="4" width="5.7109375" style="65" hidden="1" customWidth="1"/>
    <col min="5" max="5" width="11.28515625" style="65" hidden="1" customWidth="1"/>
    <col min="6" max="6" width="11.42578125" style="65" hidden="1" customWidth="1"/>
    <col min="7" max="7" width="11.85546875" style="65" hidden="1" customWidth="1"/>
    <col min="8" max="8" width="10.7109375" customWidth="1"/>
    <col min="9" max="9" width="3.7109375" customWidth="1"/>
    <col min="10" max="15" width="10.7109375" style="65" customWidth="1"/>
    <col min="16" max="16" width="12.85546875" style="65" customWidth="1"/>
    <col min="17" max="19" width="10.7109375" style="65" customWidth="1"/>
  </cols>
  <sheetData>
    <row r="1" spans="1:19" ht="15.75" x14ac:dyDescent="0.25">
      <c r="E1" s="66" t="s">
        <v>136</v>
      </c>
      <c r="F1" s="66" t="s">
        <v>137</v>
      </c>
      <c r="G1" s="66" t="s">
        <v>138</v>
      </c>
      <c r="O1" s="67" t="str">
        <f>"Quadro de Composição do BDI"</f>
        <v>Quadro de Composição do BDI</v>
      </c>
      <c r="R1" s="688" t="s">
        <v>139</v>
      </c>
      <c r="S1" s="688"/>
    </row>
    <row r="2" spans="1:19" x14ac:dyDescent="0.2">
      <c r="A2" s="65" t="s">
        <v>140</v>
      </c>
      <c r="B2" s="69" t="s">
        <v>141</v>
      </c>
      <c r="C2" s="65" t="str">
        <f t="shared" ref="C2:C49" si="0">CONCATENATE(A2,"-",B2)</f>
        <v>Construção e Reforma de Edifícios-AC</v>
      </c>
      <c r="E2" s="70">
        <v>0.03</v>
      </c>
      <c r="F2" s="70">
        <v>0.04</v>
      </c>
      <c r="G2" s="70">
        <v>5.5E-2</v>
      </c>
      <c r="R2" s="689" t="s">
        <v>142</v>
      </c>
      <c r="S2" s="689"/>
    </row>
    <row r="3" spans="1:19" x14ac:dyDescent="0.2">
      <c r="A3" s="65" t="str">
        <f>A2</f>
        <v>Construção e Reforma de Edifícios</v>
      </c>
      <c r="B3" s="69" t="s">
        <v>143</v>
      </c>
      <c r="C3" s="65" t="str">
        <f t="shared" si="0"/>
        <v>Construção e Reforma de Edifícios-SG</v>
      </c>
      <c r="E3" s="70">
        <v>8.0000000000000002E-3</v>
      </c>
      <c r="F3" s="70">
        <v>8.0000000000000002E-3</v>
      </c>
      <c r="G3" s="70">
        <v>0.01</v>
      </c>
    </row>
    <row r="4" spans="1:19" x14ac:dyDescent="0.2">
      <c r="A4" s="65" t="str">
        <f>A3</f>
        <v>Construção e Reforma de Edifícios</v>
      </c>
      <c r="B4" s="69" t="s">
        <v>144</v>
      </c>
      <c r="C4" s="65" t="str">
        <f t="shared" si="0"/>
        <v>Construção e Reforma de Edifícios-R</v>
      </c>
      <c r="E4" s="70">
        <v>9.7000000000000003E-3</v>
      </c>
      <c r="F4" s="70">
        <v>1.2699999999999999E-2</v>
      </c>
      <c r="G4" s="70">
        <v>1.2699999999999999E-2</v>
      </c>
      <c r="J4" s="684" t="s">
        <v>438</v>
      </c>
      <c r="K4" s="684"/>
      <c r="L4" s="684" t="s">
        <v>439</v>
      </c>
      <c r="M4" s="684"/>
      <c r="N4" s="684" t="s">
        <v>146</v>
      </c>
      <c r="O4" s="684"/>
      <c r="P4" s="684"/>
      <c r="Q4" s="684"/>
      <c r="R4" s="684"/>
      <c r="S4" s="684"/>
    </row>
    <row r="5" spans="1:19" ht="12.75" customHeight="1" x14ac:dyDescent="0.2">
      <c r="A5" s="65" t="str">
        <f>A4</f>
        <v>Construção e Reforma de Edifícios</v>
      </c>
      <c r="B5" s="69" t="s">
        <v>147</v>
      </c>
      <c r="C5" s="65" t="str">
        <f t="shared" si="0"/>
        <v>Construção e Reforma de Edifícios-DF</v>
      </c>
      <c r="E5" s="70">
        <v>5.8999999999999999E-3</v>
      </c>
      <c r="F5" s="70">
        <v>1.23E-2</v>
      </c>
      <c r="G5" s="70">
        <v>1.3899999999999999E-2</v>
      </c>
      <c r="J5" s="687">
        <f>Import.CR</f>
        <v>0</v>
      </c>
      <c r="K5" s="687"/>
      <c r="L5" s="687">
        <f>Import.SICONV</f>
        <v>0</v>
      </c>
      <c r="M5" s="687"/>
      <c r="N5" s="687" t="str">
        <f>Import.Proponente</f>
        <v>MUNICIPIO DE CÉU AZUL</v>
      </c>
      <c r="O5" s="687"/>
      <c r="P5" s="687"/>
      <c r="Q5" s="687"/>
      <c r="R5" s="687"/>
      <c r="S5" s="687"/>
    </row>
    <row r="6" spans="1:19" x14ac:dyDescent="0.2">
      <c r="A6" s="65" t="str">
        <f>A5</f>
        <v>Construção e Reforma de Edifícios</v>
      </c>
      <c r="B6" s="69" t="s">
        <v>148</v>
      </c>
      <c r="C6" s="65" t="str">
        <f t="shared" si="0"/>
        <v>Construção e Reforma de Edifícios-L</v>
      </c>
      <c r="E6" s="70">
        <v>6.1600000000000002E-2</v>
      </c>
      <c r="F6" s="70">
        <v>7.400000000000001E-2</v>
      </c>
      <c r="G6" s="70">
        <v>8.9600000000000013E-2</v>
      </c>
      <c r="I6" s="677" t="s">
        <v>208</v>
      </c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ht="25.5" x14ac:dyDescent="0.2">
      <c r="A7" s="65" t="str">
        <f>A6</f>
        <v>Construção e Reforma de Edifícios</v>
      </c>
      <c r="B7" s="74" t="s">
        <v>149</v>
      </c>
      <c r="C7" s="65" t="str">
        <f t="shared" si="0"/>
        <v>Construção e Reforma de Edifícios-BDI PAD</v>
      </c>
      <c r="E7" s="70">
        <v>0.2034</v>
      </c>
      <c r="F7" s="70">
        <v>0.22120000000000001</v>
      </c>
      <c r="G7" s="70">
        <v>0.25</v>
      </c>
      <c r="I7" s="677"/>
      <c r="J7" s="684" t="s">
        <v>150</v>
      </c>
      <c r="K7" s="684"/>
      <c r="L7" s="684"/>
      <c r="M7" s="684"/>
      <c r="N7" s="684"/>
      <c r="O7" s="684"/>
      <c r="P7" s="684"/>
      <c r="Q7" s="684"/>
      <c r="R7" s="684"/>
      <c r="S7" s="684"/>
    </row>
    <row r="8" spans="1:19" x14ac:dyDescent="0.2">
      <c r="A8" s="65" t="s">
        <v>151</v>
      </c>
      <c r="B8" s="69" t="s">
        <v>141</v>
      </c>
      <c r="C8" s="65" t="str">
        <f t="shared" si="0"/>
        <v>Construção de Praças Urbanas, Rodovias, Ferrovias e recapeamento e pavimentação de vias urbanas-AC</v>
      </c>
      <c r="E8" s="70">
        <v>3.7999999999999999E-2</v>
      </c>
      <c r="F8" s="70">
        <v>4.0099999999999997E-2</v>
      </c>
      <c r="G8" s="70">
        <v>4.6699999999999998E-2</v>
      </c>
      <c r="I8" s="677"/>
      <c r="J8" s="692" t="str">
        <f>Import.Apelido&amp;" / "&amp;Import.DescLote</f>
        <v>PAÇO MUNICIPAL / REFORMA DO PAÇO MUNICIPAL</v>
      </c>
      <c r="K8" s="692"/>
      <c r="L8" s="692"/>
      <c r="M8" s="692"/>
      <c r="N8" s="692"/>
      <c r="O8" s="692"/>
      <c r="P8" s="692"/>
      <c r="Q8" s="692"/>
      <c r="R8" s="692"/>
      <c r="S8" s="692"/>
    </row>
    <row r="9" spans="1:19" x14ac:dyDescent="0.2">
      <c r="A9" s="65" t="s">
        <v>151</v>
      </c>
      <c r="B9" s="69" t="s">
        <v>143</v>
      </c>
      <c r="C9" s="65" t="str">
        <f t="shared" si="0"/>
        <v>Construção de Praças Urbanas, Rodovias, Ferrovias e recapeamento e pavimentação de vias urbanas-SG</v>
      </c>
      <c r="E9" s="70">
        <v>3.2000000000000002E-3</v>
      </c>
      <c r="F9" s="70">
        <v>4.0000000000000001E-3</v>
      </c>
      <c r="G9" s="70">
        <v>7.4000000000000003E-3</v>
      </c>
      <c r="I9" s="677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19" ht="12.75" customHeight="1" x14ac:dyDescent="0.2">
      <c r="A10" s="65" t="s">
        <v>151</v>
      </c>
      <c r="B10" s="69" t="s">
        <v>144</v>
      </c>
      <c r="C10" s="65" t="str">
        <f t="shared" si="0"/>
        <v>Construção de Praças Urbanas, Rodovias, Ferrovias e recapeamento e pavimentação de vias urbanas-R</v>
      </c>
      <c r="E10" s="70">
        <v>5.0000000000000001E-3</v>
      </c>
      <c r="F10" s="70">
        <v>5.6000000000000008E-3</v>
      </c>
      <c r="G10" s="70">
        <v>9.7000000000000003E-3</v>
      </c>
      <c r="I10" s="677"/>
      <c r="J10" s="693" t="s">
        <v>152</v>
      </c>
      <c r="K10" s="693"/>
      <c r="L10" s="693"/>
      <c r="M10" s="693"/>
      <c r="N10" s="693"/>
      <c r="O10" s="693"/>
      <c r="P10" s="693"/>
      <c r="Q10" s="693"/>
      <c r="R10" s="691">
        <v>1</v>
      </c>
      <c r="S10" s="691"/>
    </row>
    <row r="11" spans="1:19" ht="12.75" customHeight="1" x14ac:dyDescent="0.2">
      <c r="A11" s="65" t="s">
        <v>151</v>
      </c>
      <c r="B11" s="69" t="s">
        <v>147</v>
      </c>
      <c r="C11" s="65" t="str">
        <f t="shared" si="0"/>
        <v>Construção de Praças Urbanas, Rodovias, Ferrovias e recapeamento e pavimentação de vias urbanas-DF</v>
      </c>
      <c r="E11" s="70">
        <v>1.0200000000000001E-2</v>
      </c>
      <c r="F11" s="70">
        <v>1.11E-2</v>
      </c>
      <c r="G11" s="70">
        <v>1.21E-2</v>
      </c>
      <c r="I11" s="135" t="s">
        <v>216</v>
      </c>
      <c r="J11" s="690" t="s">
        <v>153</v>
      </c>
      <c r="K11" s="690"/>
      <c r="L11" s="690"/>
      <c r="M11" s="690"/>
      <c r="N11" s="690"/>
      <c r="O11" s="690"/>
      <c r="P11" s="690"/>
      <c r="Q11" s="690"/>
      <c r="R11" s="691">
        <v>0.04</v>
      </c>
      <c r="S11" s="691"/>
    </row>
    <row r="12" spans="1:19" x14ac:dyDescent="0.2">
      <c r="A12" s="65" t="s">
        <v>151</v>
      </c>
      <c r="B12" s="69" t="s">
        <v>148</v>
      </c>
      <c r="C12" s="65" t="str">
        <f t="shared" si="0"/>
        <v>Construção de Praças Urbanas, Rodovias, Ferrovias e recapeamento e pavimentação de vias urbanas-L</v>
      </c>
      <c r="E12" s="70">
        <v>6.6400000000000001E-2</v>
      </c>
      <c r="F12" s="70">
        <v>7.2999999999999995E-2</v>
      </c>
      <c r="G12" s="70">
        <v>8.6899999999999991E-2</v>
      </c>
      <c r="I12" t="s">
        <v>245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1:19" ht="25.5" x14ac:dyDescent="0.2">
      <c r="A13" s="65" t="s">
        <v>151</v>
      </c>
      <c r="B13" s="74" t="s">
        <v>149</v>
      </c>
      <c r="C13" s="65" t="str">
        <f t="shared" si="0"/>
        <v>Construção de Praças Urbanas, Rodovias, Ferrovias e recapeamento e pavimentação de vias urbanas-BDI PAD</v>
      </c>
      <c r="E13" s="70">
        <v>0.19600000000000001</v>
      </c>
      <c r="F13" s="70">
        <v>0.2097</v>
      </c>
      <c r="G13" s="70">
        <v>0.24230000000000002</v>
      </c>
      <c r="I13" t="s">
        <v>245</v>
      </c>
    </row>
    <row r="14" spans="1:19" ht="15.75" x14ac:dyDescent="0.25">
      <c r="A14" s="65" t="s">
        <v>154</v>
      </c>
      <c r="B14" s="69" t="s">
        <v>141</v>
      </c>
      <c r="C14" s="65" t="str">
        <f t="shared" si="0"/>
        <v>Construção de Redes de Abastecimento de Água, Coleta de Esgoto-AC</v>
      </c>
      <c r="E14" s="70">
        <v>3.4300000000000004E-2</v>
      </c>
      <c r="F14" s="70">
        <v>4.9299999999999997E-2</v>
      </c>
      <c r="G14" s="70">
        <v>6.7099999999999993E-2</v>
      </c>
      <c r="I14" t="s">
        <v>245</v>
      </c>
      <c r="J14" s="686" t="s">
        <v>155</v>
      </c>
      <c r="K14" s="686"/>
      <c r="L14" s="686"/>
      <c r="M14" s="686"/>
      <c r="N14" s="686"/>
      <c r="O14" s="686"/>
      <c r="P14" s="686"/>
      <c r="Q14" s="686"/>
      <c r="R14" s="686"/>
      <c r="S14" s="686"/>
    </row>
    <row r="15" spans="1:19" x14ac:dyDescent="0.2">
      <c r="A15" s="65" t="str">
        <f>A14</f>
        <v>Construção de Redes de Abastecimento de Água, Coleta de Esgoto</v>
      </c>
      <c r="B15" s="69" t="s">
        <v>143</v>
      </c>
      <c r="C15" s="65" t="str">
        <f t="shared" si="0"/>
        <v>Construção de Redes de Abastecimento de Água, Coleta de Esgoto-SG</v>
      </c>
      <c r="E15" s="70">
        <v>2.8000000000000004E-3</v>
      </c>
      <c r="F15" s="70">
        <v>4.8999999999999998E-3</v>
      </c>
      <c r="G15" s="70">
        <v>7.4999999999999997E-3</v>
      </c>
      <c r="I15" t="s">
        <v>245</v>
      </c>
    </row>
    <row r="16" spans="1:19" x14ac:dyDescent="0.2">
      <c r="A16" s="65" t="str">
        <f>A15</f>
        <v>Construção de Redes de Abastecimento de Água, Coleta de Esgoto</v>
      </c>
      <c r="B16" s="69" t="s">
        <v>144</v>
      </c>
      <c r="C16" s="65" t="str">
        <f t="shared" si="0"/>
        <v>Construção de Redes de Abastecimento de Água, Coleta de Esgoto-R</v>
      </c>
      <c r="E16" s="70">
        <v>0.01</v>
      </c>
      <c r="F16" s="70">
        <v>1.3899999999999999E-2</v>
      </c>
      <c r="G16" s="70">
        <v>1.7399999999999999E-2</v>
      </c>
      <c r="I16" t="s">
        <v>245</v>
      </c>
      <c r="J16" s="684" t="s">
        <v>156</v>
      </c>
      <c r="K16" s="684"/>
      <c r="L16" s="684"/>
      <c r="M16" s="684"/>
      <c r="N16" s="684"/>
      <c r="O16" s="684"/>
      <c r="P16" s="684"/>
      <c r="Q16" s="684"/>
      <c r="R16" s="684"/>
      <c r="S16" s="684"/>
    </row>
    <row r="17" spans="1:26" x14ac:dyDescent="0.2">
      <c r="A17" s="65" t="str">
        <f>A16</f>
        <v>Construção de Redes de Abastecimento de Água, Coleta de Esgoto</v>
      </c>
      <c r="B17" s="69" t="s">
        <v>147</v>
      </c>
      <c r="C17" s="65" t="str">
        <f t="shared" si="0"/>
        <v>Construção de Redes de Abastecimento de Água, Coleta de Esgoto-DF</v>
      </c>
      <c r="E17" s="70">
        <v>9.3999999999999986E-3</v>
      </c>
      <c r="F17" s="70">
        <v>9.8999999999999991E-3</v>
      </c>
      <c r="G17" s="70">
        <v>1.1699999999999999E-2</v>
      </c>
      <c r="I17" t="s">
        <v>245</v>
      </c>
      <c r="J17" s="685" t="s">
        <v>140</v>
      </c>
      <c r="K17" s="685"/>
      <c r="L17" s="685"/>
      <c r="M17" s="685"/>
      <c r="N17" s="685"/>
      <c r="O17" s="685"/>
      <c r="P17" s="685"/>
      <c r="Q17" s="685"/>
      <c r="R17" s="685"/>
      <c r="S17" s="685"/>
    </row>
    <row r="18" spans="1:26" x14ac:dyDescent="0.2">
      <c r="A18" s="65" t="str">
        <f>A17</f>
        <v>Construção de Redes de Abastecimento de Água, Coleta de Esgoto</v>
      </c>
      <c r="B18" s="69" t="s">
        <v>148</v>
      </c>
      <c r="C18" s="65" t="str">
        <f t="shared" si="0"/>
        <v>Construção de Redes de Abastecimento de Água, Coleta de Esgoto-L</v>
      </c>
      <c r="E18" s="70">
        <v>6.7400000000000002E-2</v>
      </c>
      <c r="F18" s="70">
        <v>8.0399999999999985E-2</v>
      </c>
      <c r="G18" s="70">
        <v>9.4E-2</v>
      </c>
      <c r="I18" t="s">
        <v>245</v>
      </c>
    </row>
    <row r="19" spans="1:26" ht="12.75" customHeight="1" x14ac:dyDescent="0.2">
      <c r="A19" s="65" t="str">
        <f>A18</f>
        <v>Construção de Redes de Abastecimento de Água, Coleta de Esgoto</v>
      </c>
      <c r="B19" s="74" t="s">
        <v>149</v>
      </c>
      <c r="C19" s="65" t="str">
        <f t="shared" si="0"/>
        <v>Construção de Redes de Abastecimento de Água, Coleta de Esgoto-BDI PAD</v>
      </c>
      <c r="E19" s="70">
        <v>0.20760000000000001</v>
      </c>
      <c r="F19" s="70">
        <v>0.24179999999999999</v>
      </c>
      <c r="G19" s="70">
        <v>0.26440000000000002</v>
      </c>
      <c r="I19" t="s">
        <v>245</v>
      </c>
      <c r="J19" s="683" t="s">
        <v>157</v>
      </c>
      <c r="K19" s="683"/>
      <c r="L19" s="683"/>
      <c r="M19" s="683"/>
      <c r="N19" s="683"/>
      <c r="O19" s="683"/>
      <c r="P19" s="683"/>
      <c r="Q19" s="683"/>
      <c r="R19" s="683" t="s">
        <v>158</v>
      </c>
      <c r="S19" s="674" t="s">
        <v>159</v>
      </c>
      <c r="U19" s="674" t="s">
        <v>160</v>
      </c>
      <c r="V19" s="674"/>
      <c r="W19" s="674"/>
      <c r="X19" s="682" t="s">
        <v>161</v>
      </c>
      <c r="Y19" s="682" t="s">
        <v>162</v>
      </c>
      <c r="Z19" s="682" t="s">
        <v>163</v>
      </c>
    </row>
    <row r="20" spans="1:26" ht="12.75" customHeight="1" x14ac:dyDescent="0.2">
      <c r="A20" s="65" t="s">
        <v>164</v>
      </c>
      <c r="B20" s="69" t="s">
        <v>141</v>
      </c>
      <c r="C20" s="65" t="str">
        <f t="shared" si="0"/>
        <v>Construção e Manutenção de Estações e Redes de Distribuição de Energia Elétrica-AC</v>
      </c>
      <c r="E20" s="70">
        <v>5.2900000000000003E-2</v>
      </c>
      <c r="F20" s="70">
        <v>5.9200000000000003E-2</v>
      </c>
      <c r="G20" s="70">
        <v>7.9299999999999995E-2</v>
      </c>
      <c r="I20" t="s">
        <v>245</v>
      </c>
      <c r="J20" s="683"/>
      <c r="K20" s="683"/>
      <c r="L20" s="683"/>
      <c r="M20" s="683"/>
      <c r="N20" s="683"/>
      <c r="O20" s="683"/>
      <c r="P20" s="683"/>
      <c r="Q20" s="683"/>
      <c r="R20" s="683"/>
      <c r="S20" s="674"/>
      <c r="U20" s="674"/>
      <c r="V20" s="674"/>
      <c r="W20" s="674"/>
      <c r="X20" s="682"/>
      <c r="Y20" s="682"/>
      <c r="Z20" s="682"/>
    </row>
    <row r="21" spans="1:26" ht="15" customHeight="1" x14ac:dyDescent="0.2">
      <c r="A21" s="65" t="str">
        <f>A20</f>
        <v>Construção e Manutenção de Estações e Redes de Distribuição de Energia Elétrica</v>
      </c>
      <c r="B21" s="69" t="s">
        <v>143</v>
      </c>
      <c r="C21" s="65" t="str">
        <f t="shared" si="0"/>
        <v>Construção e Manutenção de Estações e Redes de Distribuição de Energia Elétrica-SG</v>
      </c>
      <c r="E21" s="70">
        <v>2.5000000000000001E-3</v>
      </c>
      <c r="F21" s="70">
        <v>5.1000000000000004E-3</v>
      </c>
      <c r="G21" s="70">
        <v>5.6000000000000008E-3</v>
      </c>
      <c r="I21" t="s">
        <v>245</v>
      </c>
      <c r="J21" s="672" t="str">
        <f>IF($J$17=$A$146,"Encargos Sociais incidentes sobre a mão de obra","Administração Central")</f>
        <v>Administração Central</v>
      </c>
      <c r="K21" s="672"/>
      <c r="L21" s="672"/>
      <c r="M21" s="672"/>
      <c r="N21" s="672"/>
      <c r="O21" s="672"/>
      <c r="P21" s="672"/>
      <c r="Q21" s="672"/>
      <c r="R21" s="76" t="str">
        <f>IF($J17=$A$146,"K1","AC")</f>
        <v>AC</v>
      </c>
      <c r="S21" s="77">
        <v>0.04</v>
      </c>
      <c r="U21" s="673" t="s">
        <v>165</v>
      </c>
      <c r="V21" s="673"/>
      <c r="W21" s="673"/>
      <c r="X21" s="78">
        <f>VLOOKUP(CONCATENATE(J17,"-",R21),$C$2:$G$136,3,FALSE)</f>
        <v>0.03</v>
      </c>
      <c r="Y21" s="78">
        <f>VLOOKUP(CONCATENATE(J17,"-",R21),$C$2:$G$136,4,FALSE)</f>
        <v>0.04</v>
      </c>
      <c r="Z21" s="78">
        <f>VLOOKUP(CONCATENATE(J17,"-",R21),$C$2:$G$136,5,FALSE)</f>
        <v>5.5E-2</v>
      </c>
    </row>
    <row r="22" spans="1:26" ht="15" customHeight="1" x14ac:dyDescent="0.2">
      <c r="A22" s="65" t="str">
        <f>A21</f>
        <v>Construção e Manutenção de Estações e Redes de Distribuição de Energia Elétrica</v>
      </c>
      <c r="B22" s="69" t="s">
        <v>144</v>
      </c>
      <c r="C22" s="65" t="str">
        <f t="shared" si="0"/>
        <v>Construção e Manutenção de Estações e Redes de Distribuição de Energia Elétrica-R</v>
      </c>
      <c r="E22" s="70">
        <v>0.01</v>
      </c>
      <c r="F22" s="70">
        <v>1.4800000000000001E-2</v>
      </c>
      <c r="G22" s="70">
        <v>1.9699999999999999E-2</v>
      </c>
      <c r="I22" t="s">
        <v>245</v>
      </c>
      <c r="J22" s="672" t="str">
        <f>IF($J$17=$A$146,"Administração Central da empresa ou consultoria - overhead","Seguro e Garantia")</f>
        <v>Seguro e Garantia</v>
      </c>
      <c r="K22" s="672"/>
      <c r="L22" s="672"/>
      <c r="M22" s="672"/>
      <c r="N22" s="672"/>
      <c r="O22" s="672"/>
      <c r="P22" s="672"/>
      <c r="Q22" s="672"/>
      <c r="R22" s="76" t="str">
        <f>IF($J17=$A$146,"K2","SG")</f>
        <v>SG</v>
      </c>
      <c r="S22" s="77">
        <v>8.0000000000000002E-3</v>
      </c>
      <c r="U22" s="673" t="s">
        <v>165</v>
      </c>
      <c r="V22" s="673"/>
      <c r="W22" s="673"/>
      <c r="X22" s="78">
        <f>VLOOKUP(CONCATENATE(J17,"-",R22),$C$2:$G$136,3,FALSE)</f>
        <v>8.0000000000000002E-3</v>
      </c>
      <c r="Y22" s="78">
        <f>VLOOKUP(CONCATENATE(J17,"-",R22),$C$2:$G$136,4,FALSE)</f>
        <v>8.0000000000000002E-3</v>
      </c>
      <c r="Z22" s="78">
        <f>VLOOKUP(CONCATENATE(J17,"-",R22),$C$2:$G$136,5,FALSE)</f>
        <v>0.01</v>
      </c>
    </row>
    <row r="23" spans="1:26" ht="15" customHeight="1" x14ac:dyDescent="0.2">
      <c r="A23" s="65" t="str">
        <f>A22</f>
        <v>Construção e Manutenção de Estações e Redes de Distribuição de Energia Elétrica</v>
      </c>
      <c r="B23" s="69" t="s">
        <v>147</v>
      </c>
      <c r="C23" s="65" t="str">
        <f t="shared" si="0"/>
        <v>Construção e Manutenção de Estações e Redes de Distribuição de Energia Elétrica-DF</v>
      </c>
      <c r="E23" s="70">
        <v>1.01E-2</v>
      </c>
      <c r="F23" s="70">
        <v>1.0700000000000001E-2</v>
      </c>
      <c r="G23" s="70">
        <v>1.11E-2</v>
      </c>
      <c r="I23" t="s">
        <v>245</v>
      </c>
      <c r="J23" s="672" t="str">
        <f>IF($J$17=$A$146,"","Risco")</f>
        <v>Risco</v>
      </c>
      <c r="K23" s="672"/>
      <c r="L23" s="672"/>
      <c r="M23" s="672"/>
      <c r="N23" s="672"/>
      <c r="O23" s="672"/>
      <c r="P23" s="672"/>
      <c r="Q23" s="672"/>
      <c r="R23" s="76" t="str">
        <f>IF($J17=$A$146,"","R")</f>
        <v>R</v>
      </c>
      <c r="S23" s="77">
        <v>1.2699999999999999E-2</v>
      </c>
      <c r="U23" s="673" t="s">
        <v>165</v>
      </c>
      <c r="V23" s="673"/>
      <c r="W23" s="673"/>
      <c r="X23" s="78">
        <f>VLOOKUP(CONCATENATE(J17,"-",R23),$C$2:$G$136,3,FALSE)</f>
        <v>9.7000000000000003E-3</v>
      </c>
      <c r="Y23" s="78">
        <f>VLOOKUP(CONCATENATE(J17,"-",R23),$C$2:$G$136,4,FALSE)</f>
        <v>1.2699999999999999E-2</v>
      </c>
      <c r="Z23" s="78">
        <f>VLOOKUP(CONCATENATE(J17,"-",R23),$C$2:$G$136,5,FALSE)</f>
        <v>1.2699999999999999E-2</v>
      </c>
    </row>
    <row r="24" spans="1:26" ht="15" customHeight="1" x14ac:dyDescent="0.2">
      <c r="A24" s="65" t="str">
        <f>A23</f>
        <v>Construção e Manutenção de Estações e Redes de Distribuição de Energia Elétrica</v>
      </c>
      <c r="B24" s="69" t="s">
        <v>148</v>
      </c>
      <c r="C24" s="65" t="str">
        <f t="shared" si="0"/>
        <v>Construção e Manutenção de Estações e Redes de Distribuição de Energia Elétrica-L</v>
      </c>
      <c r="E24" s="70">
        <v>0.08</v>
      </c>
      <c r="F24" s="70">
        <v>8.3100000000000007E-2</v>
      </c>
      <c r="G24" s="70">
        <v>9.5100000000000004E-2</v>
      </c>
      <c r="I24" t="s">
        <v>245</v>
      </c>
      <c r="J24" s="672" t="str">
        <f>IF($J$17=$A$146,"","Despesas Financeiras")</f>
        <v>Despesas Financeiras</v>
      </c>
      <c r="K24" s="672"/>
      <c r="L24" s="672"/>
      <c r="M24" s="672"/>
      <c r="N24" s="672"/>
      <c r="O24" s="672"/>
      <c r="P24" s="672"/>
      <c r="Q24" s="672"/>
      <c r="R24" s="76" t="str">
        <f>IF($J17=$A$146,"","DF")</f>
        <v>DF</v>
      </c>
      <c r="S24" s="77">
        <v>1.23E-2</v>
      </c>
      <c r="U24" s="673" t="s">
        <v>165</v>
      </c>
      <c r="V24" s="673"/>
      <c r="W24" s="673"/>
      <c r="X24" s="78">
        <f>VLOOKUP(CONCATENATE(J17,"-",R24),$C$2:$G$136,3,FALSE)</f>
        <v>5.8999999999999999E-3</v>
      </c>
      <c r="Y24" s="78">
        <f>VLOOKUP(CONCATENATE(J17,"-",R24),$C$2:$G$136,4,FALSE)</f>
        <v>1.23E-2</v>
      </c>
      <c r="Z24" s="78">
        <f>VLOOKUP(CONCATENATE(J17,"-",R24),$C$2:$G$136,5,FALSE)</f>
        <v>1.3899999999999999E-2</v>
      </c>
    </row>
    <row r="25" spans="1:26" ht="15" customHeight="1" x14ac:dyDescent="0.2">
      <c r="A25" s="65" t="str">
        <f>A24</f>
        <v>Construção e Manutenção de Estações e Redes de Distribuição de Energia Elétrica</v>
      </c>
      <c r="B25" s="74" t="s">
        <v>149</v>
      </c>
      <c r="C25" s="65" t="str">
        <f t="shared" si="0"/>
        <v>Construção e Manutenção de Estações e Redes de Distribuição de Energia Elétrica-BDI PAD</v>
      </c>
      <c r="E25" s="70">
        <v>0.24</v>
      </c>
      <c r="F25" s="70">
        <v>0.25840000000000002</v>
      </c>
      <c r="G25" s="70">
        <v>0.27860000000000001</v>
      </c>
      <c r="I25" t="s">
        <v>245</v>
      </c>
      <c r="J25" s="672" t="str">
        <f>IF($J$17=$A$146,"Margem bruta da empresa de consultoria","Lucro")</f>
        <v>Lucro</v>
      </c>
      <c r="K25" s="672"/>
      <c r="L25" s="672"/>
      <c r="M25" s="672"/>
      <c r="N25" s="672"/>
      <c r="O25" s="672"/>
      <c r="P25" s="672"/>
      <c r="Q25" s="672"/>
      <c r="R25" s="76" t="str">
        <f>IF($J17=$A$146,"K3","L")</f>
        <v>L</v>
      </c>
      <c r="S25" s="77">
        <v>7.51E-2</v>
      </c>
      <c r="U25" s="673" t="s">
        <v>165</v>
      </c>
      <c r="V25" s="673"/>
      <c r="W25" s="673"/>
      <c r="X25" s="78">
        <f>VLOOKUP(CONCATENATE(J17,"-",R25),$C$2:$G$136,3,FALSE)</f>
        <v>6.1600000000000002E-2</v>
      </c>
      <c r="Y25" s="78">
        <f>VLOOKUP(CONCATENATE(J17,"-",R25),$C$2:$G$136,4,FALSE)</f>
        <v>7.400000000000001E-2</v>
      </c>
      <c r="Z25" s="78">
        <f>VLOOKUP(CONCATENATE(J17,"-",R25),$C$2:$G$136,5,FALSE)</f>
        <v>8.9600000000000013E-2</v>
      </c>
    </row>
    <row r="26" spans="1:26" ht="15" customHeight="1" x14ac:dyDescent="0.2">
      <c r="A26" s="65" t="s">
        <v>166</v>
      </c>
      <c r="B26" s="69" t="s">
        <v>141</v>
      </c>
      <c r="C26" s="65" t="str">
        <f t="shared" si="0"/>
        <v>Obras Portuárias, Marítimas e Fluviais-AC</v>
      </c>
      <c r="E26" s="70">
        <v>0.04</v>
      </c>
      <c r="F26" s="70">
        <v>5.5199999999999999E-2</v>
      </c>
      <c r="G26" s="70">
        <v>7.85E-2</v>
      </c>
      <c r="I26" t="s">
        <v>245</v>
      </c>
      <c r="J26" s="672" t="s">
        <v>167</v>
      </c>
      <c r="K26" s="672"/>
      <c r="L26" s="672"/>
      <c r="M26" s="672"/>
      <c r="N26" s="672"/>
      <c r="O26" s="672"/>
      <c r="P26" s="672"/>
      <c r="Q26" s="672"/>
      <c r="R26" s="76" t="s">
        <v>168</v>
      </c>
      <c r="S26" s="77">
        <v>3.6499999999999998E-2</v>
      </c>
      <c r="U26" s="673" t="s">
        <v>165</v>
      </c>
      <c r="V26" s="673"/>
      <c r="W26" s="673"/>
      <c r="X26" s="78">
        <v>3.6499999999999998E-2</v>
      </c>
      <c r="Y26" s="78">
        <v>3.6499999999999998E-2</v>
      </c>
      <c r="Z26" s="78">
        <v>3.6499999999999998E-2</v>
      </c>
    </row>
    <row r="27" spans="1:26" ht="15" customHeight="1" x14ac:dyDescent="0.2">
      <c r="A27" s="65" t="str">
        <f>A26</f>
        <v>Obras Portuárias, Marítimas e Fluviais</v>
      </c>
      <c r="B27" s="69" t="s">
        <v>143</v>
      </c>
      <c r="C27" s="65" t="str">
        <f t="shared" si="0"/>
        <v>Obras Portuárias, Marítimas e Fluviais-SG</v>
      </c>
      <c r="E27" s="70">
        <v>8.1000000000000013E-3</v>
      </c>
      <c r="F27" s="70">
        <v>1.2199999999999999E-2</v>
      </c>
      <c r="G27" s="70">
        <v>1.9900000000000001E-2</v>
      </c>
      <c r="I27" t="s">
        <v>245</v>
      </c>
      <c r="J27" s="672" t="s">
        <v>169</v>
      </c>
      <c r="K27" s="672"/>
      <c r="L27" s="672"/>
      <c r="M27" s="672"/>
      <c r="N27" s="672"/>
      <c r="O27" s="672"/>
      <c r="P27" s="672"/>
      <c r="Q27" s="672"/>
      <c r="R27" s="76" t="s">
        <v>170</v>
      </c>
      <c r="S27" s="78">
        <f ca="1">IF(AND($J17&lt;&gt;$A$145,COUNTA(OFFSET(S20,1,0,6))&gt;0),$R$11*$R$10,0)</f>
        <v>0.04</v>
      </c>
      <c r="U27" s="673" t="s">
        <v>165</v>
      </c>
      <c r="V27" s="673"/>
      <c r="W27" s="673"/>
      <c r="X27" s="78">
        <v>0</v>
      </c>
      <c r="Y27" s="78">
        <v>2.5000000000000001E-2</v>
      </c>
      <c r="Z27" s="78">
        <v>0.05</v>
      </c>
    </row>
    <row r="28" spans="1:26" ht="15" customHeight="1" x14ac:dyDescent="0.2">
      <c r="A28" s="65" t="str">
        <f>A27</f>
        <v>Obras Portuárias, Marítimas e Fluviais</v>
      </c>
      <c r="B28" s="69" t="s">
        <v>144</v>
      </c>
      <c r="C28" s="65" t="str">
        <f t="shared" si="0"/>
        <v>Obras Portuárias, Marítimas e Fluviais-R</v>
      </c>
      <c r="E28" s="70">
        <v>1.46E-2</v>
      </c>
      <c r="F28" s="70">
        <v>2.3199999999999998E-2</v>
      </c>
      <c r="G28" s="70">
        <v>3.1600000000000003E-2</v>
      </c>
      <c r="I28" t="s">
        <v>245</v>
      </c>
      <c r="J28" s="672" t="s">
        <v>171</v>
      </c>
      <c r="K28" s="672"/>
      <c r="L28" s="672"/>
      <c r="M28" s="672"/>
      <c r="N28" s="672"/>
      <c r="O28" s="672"/>
      <c r="P28" s="672"/>
      <c r="Q28" s="672"/>
      <c r="R28" s="76" t="s">
        <v>172</v>
      </c>
      <c r="S28" s="78">
        <f ca="1">IF(BDI.Opcao&lt;&gt;"Desonerado",0,IF(AND($J17&lt;&gt;$A$145,COUNTA(OFFSET(S20,1,0,6))&gt;0),4.5%,0%))</f>
        <v>0</v>
      </c>
      <c r="U28" s="673" t="s">
        <v>165</v>
      </c>
      <c r="V28" s="673"/>
      <c r="W28" s="673"/>
      <c r="X28" s="79">
        <v>0</v>
      </c>
      <c r="Y28" s="79">
        <v>4.4999999999999998E-2</v>
      </c>
      <c r="Z28" s="79">
        <v>4.4999999999999998E-2</v>
      </c>
    </row>
    <row r="29" spans="1:26" ht="15" customHeight="1" x14ac:dyDescent="0.2">
      <c r="A29" s="65" t="str">
        <f>A28</f>
        <v>Obras Portuárias, Marítimas e Fluviais</v>
      </c>
      <c r="B29" s="69" t="s">
        <v>147</v>
      </c>
      <c r="C29" s="65" t="str">
        <f t="shared" si="0"/>
        <v>Obras Portuárias, Marítimas e Fluviais-DF</v>
      </c>
      <c r="E29" s="70">
        <v>9.3999999999999986E-3</v>
      </c>
      <c r="F29" s="70">
        <v>1.0200000000000001E-2</v>
      </c>
      <c r="G29" s="70">
        <v>1.3300000000000001E-2</v>
      </c>
      <c r="I29" t="s">
        <v>245</v>
      </c>
      <c r="J29" s="672" t="s">
        <v>173</v>
      </c>
      <c r="K29" s="672"/>
      <c r="L29" s="672"/>
      <c r="M29" s="672"/>
      <c r="N29" s="672"/>
      <c r="O29" s="672"/>
      <c r="P29" s="672"/>
      <c r="Q29" s="672"/>
      <c r="R29" s="80" t="s">
        <v>149</v>
      </c>
      <c r="S29" s="78">
        <f ca="1">IF($J17=$A$145,0,ROUND((((1+S21+S22+S23)*(1+S24)*(1+S25)/(1-(S26+S27)))-1),4))</f>
        <v>0.25</v>
      </c>
      <c r="U29" s="674" t="str">
        <f ca="1">IF(OR($J$17=$A$146,$J$17=$A$145,AND(S29&gt;=X29,S29&lt;=Z29)),"OK","FORA DO INTERVALO")</f>
        <v>OK</v>
      </c>
      <c r="V29" s="674"/>
      <c r="W29" s="674"/>
      <c r="X29" s="78">
        <f>IF($J17=$A$145,0,VLOOKUP(CONCATENATE($J17,"-",$R29),$C$2:$G$136,3,FALSE))</f>
        <v>0.2034</v>
      </c>
      <c r="Y29" s="78">
        <f>IF($J17=$A$145,0,VLOOKUP(CONCATENATE($J17,"-",$R29),$C$2:$G$136,4,FALSE))</f>
        <v>0.22120000000000001</v>
      </c>
      <c r="Z29" s="78">
        <f>IF($J17=$A$145,0,VLOOKUP(CONCATENATE($J17,"-",$R29),$C$2:$G$136,5,FALSE))</f>
        <v>0.25</v>
      </c>
    </row>
    <row r="30" spans="1:26" ht="15" customHeight="1" x14ac:dyDescent="0.2">
      <c r="A30" s="65" t="str">
        <f>A29</f>
        <v>Obras Portuárias, Marítimas e Fluviais</v>
      </c>
      <c r="B30" s="69" t="s">
        <v>148</v>
      </c>
      <c r="C30" s="65" t="str">
        <f t="shared" si="0"/>
        <v>Obras Portuárias, Marítimas e Fluviais-L</v>
      </c>
      <c r="E30" s="70">
        <v>7.1399999999999991E-2</v>
      </c>
      <c r="F30" s="70">
        <v>8.4000000000000005E-2</v>
      </c>
      <c r="G30" s="70">
        <v>0.1043</v>
      </c>
      <c r="I30" t="s">
        <v>245</v>
      </c>
      <c r="J30" s="675" t="s">
        <v>174</v>
      </c>
      <c r="K30" s="675"/>
      <c r="L30" s="675"/>
      <c r="M30" s="675"/>
      <c r="N30" s="675"/>
      <c r="O30" s="675"/>
      <c r="P30" s="675"/>
      <c r="Q30" s="675"/>
      <c r="R30" s="81" t="s">
        <v>175</v>
      </c>
      <c r="S30" s="82">
        <f ca="1">IF($J17=$A$145,0,ROUND((((1+S21+S22+S23)*(1+S24)*(1+S25)/(1-(S26+S27+S28)))-1),4))</f>
        <v>0.25</v>
      </c>
    </row>
    <row r="31" spans="1:26" ht="25.5" x14ac:dyDescent="0.2">
      <c r="A31" s="65" t="str">
        <f>A30</f>
        <v>Obras Portuárias, Marítimas e Fluviais</v>
      </c>
      <c r="B31" s="74" t="s">
        <v>149</v>
      </c>
      <c r="C31" s="65" t="str">
        <f t="shared" si="0"/>
        <v>Obras Portuárias, Marítimas e Fluviais-BDI PAD</v>
      </c>
      <c r="E31" s="70">
        <v>0.22800000000000001</v>
      </c>
      <c r="F31" s="70">
        <v>0.27479999999999999</v>
      </c>
      <c r="G31" s="70">
        <v>0.3095</v>
      </c>
      <c r="I31" t="s">
        <v>245</v>
      </c>
    </row>
    <row r="32" spans="1:26" ht="15.75" x14ac:dyDescent="0.2">
      <c r="A32" s="65" t="s">
        <v>176</v>
      </c>
      <c r="B32" s="69" t="s">
        <v>141</v>
      </c>
      <c r="C32" s="65" t="str">
        <f t="shared" si="0"/>
        <v>Fornecimento de Materiais e Equipamentos (aquisição indireta - em conjunto com licitação de obras)-AC</v>
      </c>
      <c r="E32" s="70">
        <v>1.4999999999999999E-2</v>
      </c>
      <c r="F32" s="70">
        <v>3.4500000000000003E-2</v>
      </c>
      <c r="G32" s="70">
        <v>4.4900000000000002E-2</v>
      </c>
      <c r="I32" t="s">
        <v>245</v>
      </c>
      <c r="J32" s="83" t="str">
        <f ca="1">IF(U29&lt;&gt;"ok","X","")</f>
        <v/>
      </c>
      <c r="K32" s="676" t="str">
        <f ca="1">IF(U29&lt;&gt;"ok","Anexo: Relatório Técnico Circunstanciado justificando a adoção do percentual de cada parcela do BDI.","")</f>
        <v/>
      </c>
      <c r="L32" s="676"/>
      <c r="M32" s="676"/>
      <c r="N32" s="676"/>
      <c r="O32" s="676"/>
      <c r="P32" s="676"/>
      <c r="Q32" s="676"/>
      <c r="R32" s="676"/>
      <c r="S32" s="676"/>
    </row>
    <row r="33" spans="1:19" x14ac:dyDescent="0.2">
      <c r="A33" s="65" t="str">
        <f>A32</f>
        <v>Fornecimento de Materiais e Equipamentos (aquisição indireta - em conjunto com licitação de obras)</v>
      </c>
      <c r="B33" s="69" t="s">
        <v>143</v>
      </c>
      <c r="C33" s="65" t="str">
        <f t="shared" si="0"/>
        <v>Fornecimento de Materiais e Equipamentos (aquisição indireta - em conjunto com licitação de obras)-SG</v>
      </c>
      <c r="E33" s="70">
        <v>3.0000000000000001E-3</v>
      </c>
      <c r="F33" s="70">
        <v>4.7999999999999996E-3</v>
      </c>
      <c r="G33" s="70">
        <v>8.199999999999999E-3</v>
      </c>
      <c r="I33" t="s">
        <v>245</v>
      </c>
    </row>
    <row r="34" spans="1:19" x14ac:dyDescent="0.2">
      <c r="A34" s="65" t="str">
        <f>A33</f>
        <v>Fornecimento de Materiais e Equipamentos (aquisição indireta - em conjunto com licitação de obras)</v>
      </c>
      <c r="B34" s="69" t="s">
        <v>144</v>
      </c>
      <c r="C34" s="65" t="str">
        <f t="shared" si="0"/>
        <v>Fornecimento de Materiais e Equipamentos (aquisição indireta - em conjunto com licitação de obras)-R</v>
      </c>
      <c r="E34" s="70">
        <v>5.6000000000000008E-3</v>
      </c>
      <c r="F34" s="70">
        <v>8.5000000000000006E-3</v>
      </c>
      <c r="G34" s="70">
        <v>8.8999999999999999E-3</v>
      </c>
      <c r="I34" t="s">
        <v>245</v>
      </c>
      <c r="J34" s="678" t="s">
        <v>177</v>
      </c>
      <c r="K34" s="678"/>
      <c r="L34" s="678"/>
      <c r="M34" s="678"/>
      <c r="N34" s="678"/>
      <c r="O34" s="678"/>
      <c r="P34" s="678"/>
      <c r="Q34" s="678"/>
      <c r="R34" s="678"/>
      <c r="S34" s="678"/>
    </row>
    <row r="35" spans="1:19" ht="15.75" x14ac:dyDescent="0.25">
      <c r="A35" s="65" t="str">
        <f>A34</f>
        <v>Fornecimento de Materiais e Equipamentos (aquisição indireta - em conjunto com licitação de obras)</v>
      </c>
      <c r="B35" s="69" t="s">
        <v>147</v>
      </c>
      <c r="C35" s="65" t="str">
        <f t="shared" si="0"/>
        <v>Fornecimento de Materiais e Equipamentos (aquisição indireta - em conjunto com licitação de obras)-DF</v>
      </c>
      <c r="E35" s="70">
        <v>8.5000000000000006E-3</v>
      </c>
      <c r="F35" s="70">
        <v>8.5000000000000006E-3</v>
      </c>
      <c r="G35" s="70">
        <v>1.11E-2</v>
      </c>
      <c r="I35" t="s">
        <v>245</v>
      </c>
      <c r="J35" s="84"/>
      <c r="K35" s="84"/>
      <c r="L35" s="84"/>
      <c r="M35" s="679" t="s">
        <v>178</v>
      </c>
      <c r="N35" s="680" t="str">
        <f>IF($J17=$A$146,"(1+K1+K2)*(1+K3)","(1+AC + S + R + G)*(1 + DF)*(1+L)")</f>
        <v>(1+AC + S + R + G)*(1 + DF)*(1+L)</v>
      </c>
      <c r="O35" s="680"/>
      <c r="P35" s="680"/>
      <c r="Q35" s="681" t="s">
        <v>179</v>
      </c>
      <c r="R35" s="84"/>
      <c r="S35" s="84"/>
    </row>
    <row r="36" spans="1:19" ht="15.75" x14ac:dyDescent="0.2">
      <c r="A36" s="65" t="str">
        <f>A35</f>
        <v>Fornecimento de Materiais e Equipamentos (aquisição indireta - em conjunto com licitação de obras)</v>
      </c>
      <c r="B36" s="69" t="s">
        <v>148</v>
      </c>
      <c r="C36" s="65" t="str">
        <f t="shared" si="0"/>
        <v>Fornecimento de Materiais e Equipamentos (aquisição indireta - em conjunto com licitação de obras)-L</v>
      </c>
      <c r="E36" s="70">
        <v>3.5000000000000003E-2</v>
      </c>
      <c r="F36" s="70">
        <v>5.1100000000000007E-2</v>
      </c>
      <c r="G36" s="70">
        <v>6.2199999999999998E-2</v>
      </c>
      <c r="I36" t="s">
        <v>245</v>
      </c>
      <c r="J36" s="84"/>
      <c r="K36" s="84"/>
      <c r="L36" s="84"/>
      <c r="M36" s="679"/>
      <c r="N36" s="671" t="s">
        <v>180</v>
      </c>
      <c r="O36" s="671"/>
      <c r="P36" s="671"/>
      <c r="Q36" s="681"/>
      <c r="R36" s="84"/>
      <c r="S36" s="84"/>
    </row>
    <row r="37" spans="1:19" ht="15" customHeight="1" x14ac:dyDescent="0.2">
      <c r="A37" s="65" t="str">
        <f>A36</f>
        <v>Fornecimento de Materiais e Equipamentos (aquisição indireta - em conjunto com licitação de obras)</v>
      </c>
      <c r="B37" s="74" t="s">
        <v>149</v>
      </c>
      <c r="C37" s="65" t="str">
        <f t="shared" si="0"/>
        <v>Fornecimento de Materiais e Equipamentos (aquisição indireta - em conjunto com licitação de obras)-BDI PAD</v>
      </c>
      <c r="E37" s="70">
        <v>0.111</v>
      </c>
      <c r="F37" s="70">
        <v>0.14019999999999999</v>
      </c>
      <c r="G37" s="70">
        <v>0.16800000000000001</v>
      </c>
      <c r="I37" t="s">
        <v>245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1:19" ht="50.1" customHeight="1" x14ac:dyDescent="0.2">
      <c r="A38" s="65" t="s">
        <v>181</v>
      </c>
      <c r="B38" s="74" t="s">
        <v>141</v>
      </c>
      <c r="C38" s="65" t="str">
        <f t="shared" si="0"/>
        <v>Fornecimento de Materiais e Equipamentos (aquisição direta)-AC</v>
      </c>
      <c r="E38" s="70" t="s">
        <v>165</v>
      </c>
      <c r="F38" s="70" t="s">
        <v>165</v>
      </c>
      <c r="G38" s="70" t="s">
        <v>165</v>
      </c>
      <c r="I38" t="s">
        <v>245</v>
      </c>
      <c r="J3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5"/>
      <c r="L38" s="665"/>
      <c r="M38" s="665"/>
      <c r="N38" s="665"/>
      <c r="O38" s="665"/>
      <c r="P38" s="665"/>
      <c r="Q38" s="665"/>
      <c r="R38" s="665"/>
      <c r="S38" s="665"/>
    </row>
    <row r="39" spans="1:19" x14ac:dyDescent="0.2">
      <c r="A39" s="65" t="s">
        <v>181</v>
      </c>
      <c r="B39" s="74" t="s">
        <v>143</v>
      </c>
      <c r="C39" s="65" t="str">
        <f t="shared" si="0"/>
        <v>Fornecimento de Materiais e Equipamentos (aquisição direta)-SG</v>
      </c>
      <c r="E39" s="70" t="s">
        <v>165</v>
      </c>
      <c r="F39" s="70" t="s">
        <v>165</v>
      </c>
      <c r="G39" s="70" t="s">
        <v>165</v>
      </c>
      <c r="I39" t="s">
        <v>245</v>
      </c>
    </row>
    <row r="40" spans="1:19" ht="50.1" customHeight="1" x14ac:dyDescent="0.2">
      <c r="A40" s="65" t="s">
        <v>181</v>
      </c>
      <c r="B40" s="74" t="s">
        <v>144</v>
      </c>
      <c r="C40" s="65" t="str">
        <f t="shared" si="0"/>
        <v>Fornecimento de Materiais e Equipamentos (aquisição direta)-R</v>
      </c>
      <c r="E40" s="70" t="s">
        <v>165</v>
      </c>
      <c r="F40" s="70" t="s">
        <v>165</v>
      </c>
      <c r="G40" s="70" t="s">
        <v>165</v>
      </c>
      <c r="I40" t="s">
        <v>245</v>
      </c>
      <c r="J4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40" s="665"/>
      <c r="L40" s="665"/>
      <c r="M40" s="665"/>
      <c r="N40" s="665"/>
      <c r="O40" s="665"/>
      <c r="P40" s="665"/>
      <c r="Q40" s="665"/>
      <c r="R40" s="665"/>
      <c r="S40" s="665"/>
    </row>
    <row r="41" spans="1:19" x14ac:dyDescent="0.2">
      <c r="A41" s="65" t="s">
        <v>181</v>
      </c>
      <c r="B41" s="74" t="s">
        <v>147</v>
      </c>
      <c r="C41" s="65" t="str">
        <f t="shared" si="0"/>
        <v>Fornecimento de Materiais e Equipamentos (aquisição direta)-DF</v>
      </c>
      <c r="E41" s="70" t="s">
        <v>165</v>
      </c>
      <c r="F41" s="70" t="s">
        <v>165</v>
      </c>
      <c r="G41" s="70" t="s">
        <v>165</v>
      </c>
      <c r="I41" t="s">
        <v>245</v>
      </c>
    </row>
    <row r="42" spans="1:19" x14ac:dyDescent="0.2">
      <c r="A42" s="65" t="s">
        <v>181</v>
      </c>
      <c r="B42" s="74" t="s">
        <v>148</v>
      </c>
      <c r="C42" s="65" t="str">
        <f t="shared" si="0"/>
        <v>Fornecimento de Materiais e Equipamentos (aquisição direta)-L</v>
      </c>
      <c r="E42" s="70" t="s">
        <v>165</v>
      </c>
      <c r="F42" s="70" t="s">
        <v>165</v>
      </c>
      <c r="G42" s="70" t="s">
        <v>165</v>
      </c>
      <c r="I42" t="s">
        <v>245</v>
      </c>
      <c r="J42" s="65" t="s">
        <v>186</v>
      </c>
    </row>
    <row r="43" spans="1:19" ht="99.95" customHeight="1" x14ac:dyDescent="0.2">
      <c r="A43" s="65" t="s">
        <v>181</v>
      </c>
      <c r="B43" s="74" t="s">
        <v>149</v>
      </c>
      <c r="C43" s="65" t="str">
        <f t="shared" si="0"/>
        <v>Fornecimento de Materiais e Equipamentos (aquisição direta)-BDI PAD</v>
      </c>
      <c r="E43" s="70" t="s">
        <v>165</v>
      </c>
      <c r="F43" s="70" t="s">
        <v>165</v>
      </c>
      <c r="G43" s="70" t="s">
        <v>165</v>
      </c>
      <c r="I43" t="s">
        <v>245</v>
      </c>
      <c r="J43" s="666"/>
      <c r="K43" s="666"/>
      <c r="L43" s="666"/>
      <c r="M43" s="666"/>
      <c r="N43" s="666"/>
      <c r="O43" s="666"/>
      <c r="P43" s="666"/>
      <c r="Q43" s="666"/>
      <c r="R43" s="666"/>
      <c r="S43" s="666"/>
    </row>
    <row r="44" spans="1:19" x14ac:dyDescent="0.2">
      <c r="A44" s="65" t="s">
        <v>182</v>
      </c>
      <c r="B44" s="69" t="s">
        <v>183</v>
      </c>
      <c r="C44" s="65" t="str">
        <f t="shared" si="0"/>
        <v>Estudos e Projetos, Planos e Gerenciamento e outros correlatos-K1</v>
      </c>
      <c r="E44" s="70" t="s">
        <v>165</v>
      </c>
      <c r="F44" s="70" t="s">
        <v>165</v>
      </c>
      <c r="G44" s="70" t="s">
        <v>165</v>
      </c>
      <c r="I44" t="s">
        <v>245</v>
      </c>
    </row>
    <row r="45" spans="1:19" x14ac:dyDescent="0.2">
      <c r="A45" s="65" t="str">
        <f>A44</f>
        <v>Estudos e Projetos, Planos e Gerenciamento e outros correlatos</v>
      </c>
      <c r="B45" s="69" t="s">
        <v>184</v>
      </c>
      <c r="C45" s="65" t="str">
        <f t="shared" si="0"/>
        <v>Estudos e Projetos, Planos e Gerenciamento e outros correlatos-K2</v>
      </c>
      <c r="E45" s="70" t="s">
        <v>165</v>
      </c>
      <c r="F45" s="70">
        <v>0.2</v>
      </c>
      <c r="G45" s="70" t="s">
        <v>165</v>
      </c>
      <c r="I45" t="s">
        <v>245</v>
      </c>
      <c r="J45" s="667" t="str">
        <f>Import.Município</f>
        <v>CÉU AZUL/PR</v>
      </c>
      <c r="K45" s="667"/>
      <c r="L45" s="667"/>
      <c r="M45" s="667"/>
      <c r="P45" s="668">
        <f>DADOS!$F$25</f>
        <v>45146</v>
      </c>
      <c r="Q45" s="668"/>
      <c r="R45" s="668"/>
      <c r="S45" s="668"/>
    </row>
    <row r="46" spans="1:19" x14ac:dyDescent="0.2">
      <c r="A46" s="65" t="str">
        <f>A45</f>
        <v>Estudos e Projetos, Planos e Gerenciamento e outros correlatos</v>
      </c>
      <c r="B46" s="69"/>
      <c r="C46" s="65" t="str">
        <f t="shared" si="0"/>
        <v>Estudos e Projetos, Planos e Gerenciamento e outros correlatos-</v>
      </c>
      <c r="E46" s="70" t="s">
        <v>165</v>
      </c>
      <c r="F46" s="70" t="s">
        <v>165</v>
      </c>
      <c r="G46" s="70" t="s">
        <v>165</v>
      </c>
      <c r="I46" t="s">
        <v>245</v>
      </c>
      <c r="J46" s="669" t="s">
        <v>187</v>
      </c>
      <c r="K46" s="669"/>
      <c r="L46" s="669"/>
      <c r="M46" s="669"/>
      <c r="O46" s="89"/>
      <c r="P46" s="90" t="s">
        <v>188</v>
      </c>
      <c r="Q46" s="91"/>
      <c r="R46" s="91"/>
      <c r="S46" s="91"/>
    </row>
    <row r="47" spans="1:19" ht="30" customHeight="1" x14ac:dyDescent="0.2">
      <c r="A47" s="65" t="str">
        <f>A46</f>
        <v>Estudos e Projetos, Planos e Gerenciamento e outros correlatos</v>
      </c>
      <c r="B47" s="69"/>
      <c r="C47" s="65" t="str">
        <f t="shared" si="0"/>
        <v>Estudos e Projetos, Planos e Gerenciamento e outros correlatos-</v>
      </c>
      <c r="E47" s="70" t="s">
        <v>165</v>
      </c>
      <c r="F47" s="70" t="s">
        <v>165</v>
      </c>
      <c r="G47" s="70" t="s">
        <v>165</v>
      </c>
      <c r="I47" t="s">
        <v>245</v>
      </c>
    </row>
    <row r="48" spans="1:19" ht="15" x14ac:dyDescent="0.2">
      <c r="A48" s="65" t="str">
        <f>A47</f>
        <v>Estudos e Projetos, Planos e Gerenciamento e outros correlatos</v>
      </c>
      <c r="B48" s="69" t="s">
        <v>185</v>
      </c>
      <c r="C48" s="65" t="str">
        <f t="shared" si="0"/>
        <v>Estudos e Projetos, Planos e Gerenciamento e outros correlatos-K3</v>
      </c>
      <c r="E48" s="70" t="s">
        <v>165</v>
      </c>
      <c r="F48" s="70">
        <v>0.12</v>
      </c>
      <c r="G48" s="70" t="s">
        <v>165</v>
      </c>
      <c r="I48" t="s">
        <v>245</v>
      </c>
      <c r="J48" s="670"/>
      <c r="K48" s="670"/>
      <c r="L48" s="670"/>
      <c r="M48" s="670"/>
      <c r="N48" s="92"/>
    </row>
    <row r="49" spans="1:26" ht="12.75" customHeight="1" x14ac:dyDescent="0.2">
      <c r="A49" s="65" t="str">
        <f>A48</f>
        <v>Estudos e Projetos, Planos e Gerenciamento e outros correlatos</v>
      </c>
      <c r="B49" s="74" t="s">
        <v>149</v>
      </c>
      <c r="C49" s="65" t="str">
        <f t="shared" si="0"/>
        <v>Estudos e Projetos, Planos e Gerenciamento e outros correlatos-BDI PAD</v>
      </c>
      <c r="E49" s="70" t="s">
        <v>165</v>
      </c>
      <c r="F49" s="70" t="s">
        <v>165</v>
      </c>
      <c r="G49" s="70" t="s">
        <v>165</v>
      </c>
      <c r="I49" t="s">
        <v>245</v>
      </c>
      <c r="J49" s="664" t="s">
        <v>189</v>
      </c>
      <c r="K49" s="664"/>
      <c r="L49" s="664"/>
      <c r="M49" s="664"/>
      <c r="N49" s="93"/>
    </row>
    <row r="50" spans="1:26" ht="14.25" x14ac:dyDescent="0.2">
      <c r="B50" s="74"/>
      <c r="E50" s="70"/>
      <c r="F50" s="70"/>
      <c r="G50" s="70"/>
      <c r="I50" t="s">
        <v>245</v>
      </c>
      <c r="J50" s="94" t="s">
        <v>107</v>
      </c>
      <c r="K50" s="95" t="str">
        <f t="array" ref="K50:K52">Import.RespOrçamento</f>
        <v>GIAN CARLOS BORTOLINI VALLI</v>
      </c>
      <c r="L50" s="96"/>
      <c r="M50" s="96"/>
      <c r="N50" s="97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4" t="s">
        <v>108</v>
      </c>
      <c r="K51" s="95" t="str">
        <v>CREA 163755/D</v>
      </c>
      <c r="L51" s="96"/>
      <c r="M51" s="96"/>
      <c r="N51" s="97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4" t="s">
        <v>109</v>
      </c>
      <c r="K52" s="95">
        <v>0</v>
      </c>
      <c r="L52" s="96"/>
      <c r="M52" s="96"/>
      <c r="N52" s="97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4"/>
      <c r="K53" s="98"/>
      <c r="L53" s="96"/>
      <c r="M53" s="96"/>
      <c r="N53" s="97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6" t="s">
        <v>190</v>
      </c>
      <c r="K54" s="686"/>
      <c r="L54" s="686"/>
      <c r="M54" s="686"/>
      <c r="N54" s="686"/>
      <c r="O54" s="686"/>
      <c r="P54" s="686"/>
      <c r="Q54" s="686"/>
      <c r="R54" s="686"/>
      <c r="S54" s="686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4" t="s">
        <v>156</v>
      </c>
      <c r="K56" s="684"/>
      <c r="L56" s="684"/>
      <c r="M56" s="684"/>
      <c r="N56" s="684"/>
      <c r="O56" s="684"/>
      <c r="P56" s="684"/>
      <c r="Q56" s="684"/>
      <c r="R56" s="684"/>
      <c r="S56" s="684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5" t="s">
        <v>407</v>
      </c>
      <c r="K57" s="685"/>
      <c r="L57" s="685"/>
      <c r="M57" s="685"/>
      <c r="N57" s="685"/>
      <c r="O57" s="685"/>
      <c r="P57" s="685"/>
      <c r="Q57" s="685"/>
      <c r="R57" s="685"/>
      <c r="S57" s="685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3" t="s">
        <v>157</v>
      </c>
      <c r="K59" s="683"/>
      <c r="L59" s="683"/>
      <c r="M59" s="683"/>
      <c r="N59" s="683"/>
      <c r="O59" s="683"/>
      <c r="P59" s="683"/>
      <c r="Q59" s="683"/>
      <c r="R59" s="683" t="s">
        <v>158</v>
      </c>
      <c r="S59" s="674" t="s">
        <v>159</v>
      </c>
      <c r="U59" s="674" t="s">
        <v>160</v>
      </c>
      <c r="V59" s="674"/>
      <c r="W59" s="674"/>
      <c r="X59" s="682" t="s">
        <v>161</v>
      </c>
      <c r="Y59" s="682" t="s">
        <v>162</v>
      </c>
      <c r="Z59" s="682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3"/>
      <c r="K60" s="683"/>
      <c r="L60" s="683"/>
      <c r="M60" s="683"/>
      <c r="N60" s="683"/>
      <c r="O60" s="683"/>
      <c r="P60" s="683"/>
      <c r="Q60" s="683"/>
      <c r="R60" s="683"/>
      <c r="S60" s="674"/>
      <c r="U60" s="674"/>
      <c r="V60" s="674"/>
      <c r="W60" s="674"/>
      <c r="X60" s="682"/>
      <c r="Y60" s="682"/>
      <c r="Z60" s="682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2" t="str">
        <f>IF($J$17=$A$146,"Encargos Sociais incidentes sobre a mão de obra","Administração Central")</f>
        <v>Administração Central</v>
      </c>
      <c r="K61" s="672"/>
      <c r="L61" s="672"/>
      <c r="M61" s="672"/>
      <c r="N61" s="672"/>
      <c r="O61" s="672"/>
      <c r="P61" s="672"/>
      <c r="Q61" s="672"/>
      <c r="R61" s="76" t="str">
        <f>IF($J57=$A$146,"K1","AC")</f>
        <v>AC</v>
      </c>
      <c r="S61" s="77"/>
      <c r="U61" s="673" t="s">
        <v>165</v>
      </c>
      <c r="V61" s="673"/>
      <c r="W61" s="673"/>
      <c r="X61" s="78" t="e">
        <f>VLOOKUP(CONCATENATE(J57,"-",R61),$C$2:$G$136,3,FALSE)</f>
        <v>#N/A</v>
      </c>
      <c r="Y61" s="78" t="e">
        <f>VLOOKUP(CONCATENATE(J57,"-",R61),$C$2:$G$136,4,FALSE)</f>
        <v>#N/A</v>
      </c>
      <c r="Z61" s="78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2" t="str">
        <f>IF($J$17=$A$146,"Administração Central da empresa ou consultoria - overhead","Seguro e Garantia")</f>
        <v>Seguro e Garantia</v>
      </c>
      <c r="K62" s="672"/>
      <c r="L62" s="672"/>
      <c r="M62" s="672"/>
      <c r="N62" s="672"/>
      <c r="O62" s="672"/>
      <c r="P62" s="672"/>
      <c r="Q62" s="672"/>
      <c r="R62" s="76" t="str">
        <f>IF($J57=$A$146,"K2","SG")</f>
        <v>SG</v>
      </c>
      <c r="S62" s="77"/>
      <c r="U62" s="673" t="s">
        <v>165</v>
      </c>
      <c r="V62" s="673"/>
      <c r="W62" s="673"/>
      <c r="X62" s="78" t="e">
        <f>VLOOKUP(CONCATENATE(J57,"-",R62),$C$2:$G$136,3,FALSE)</f>
        <v>#N/A</v>
      </c>
      <c r="Y62" s="78" t="e">
        <f>VLOOKUP(CONCATENATE(J57,"-",R62),$C$2:$G$136,4,FALSE)</f>
        <v>#N/A</v>
      </c>
      <c r="Z62" s="78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2" t="str">
        <f>IF($J$17=$A$146,"","Risco")</f>
        <v>Risco</v>
      </c>
      <c r="K63" s="672"/>
      <c r="L63" s="672"/>
      <c r="M63" s="672"/>
      <c r="N63" s="672"/>
      <c r="O63" s="672"/>
      <c r="P63" s="672"/>
      <c r="Q63" s="672"/>
      <c r="R63" s="76" t="str">
        <f>IF($J57=$A$146,"","R")</f>
        <v>R</v>
      </c>
      <c r="S63" s="77"/>
      <c r="U63" s="673" t="s">
        <v>165</v>
      </c>
      <c r="V63" s="673"/>
      <c r="W63" s="673"/>
      <c r="X63" s="78" t="e">
        <f>VLOOKUP(CONCATENATE(J57,"-",R63),$C$2:$G$136,3,FALSE)</f>
        <v>#N/A</v>
      </c>
      <c r="Y63" s="78" t="e">
        <f>VLOOKUP(CONCATENATE(J57,"-",R63),$C$2:$G$136,4,FALSE)</f>
        <v>#N/A</v>
      </c>
      <c r="Z63" s="78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2" t="str">
        <f>IF($J$17=$A$146,"","Despesas Financeiras")</f>
        <v>Despesas Financeiras</v>
      </c>
      <c r="K64" s="672"/>
      <c r="L64" s="672"/>
      <c r="M64" s="672"/>
      <c r="N64" s="672"/>
      <c r="O64" s="672"/>
      <c r="P64" s="672"/>
      <c r="Q64" s="672"/>
      <c r="R64" s="76" t="str">
        <f>IF($J57=$A$146,"","DF")</f>
        <v>DF</v>
      </c>
      <c r="S64" s="77"/>
      <c r="U64" s="673" t="s">
        <v>165</v>
      </c>
      <c r="V64" s="673"/>
      <c r="W64" s="673"/>
      <c r="X64" s="78" t="e">
        <f>VLOOKUP(CONCATENATE(J57,"-",R64),$C$2:$G$136,3,FALSE)</f>
        <v>#N/A</v>
      </c>
      <c r="Y64" s="78" t="e">
        <f>VLOOKUP(CONCATENATE(J57,"-",R64),$C$2:$G$136,4,FALSE)</f>
        <v>#N/A</v>
      </c>
      <c r="Z64" s="78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2" t="str">
        <f>IF($J$17=$A$146,"Margem bruta da empresa de consultoria","Lucro")</f>
        <v>Lucro</v>
      </c>
      <c r="K65" s="672"/>
      <c r="L65" s="672"/>
      <c r="M65" s="672"/>
      <c r="N65" s="672"/>
      <c r="O65" s="672"/>
      <c r="P65" s="672"/>
      <c r="Q65" s="672"/>
      <c r="R65" s="76" t="str">
        <f>IF($J57=$A$146,"K3","L")</f>
        <v>L</v>
      </c>
      <c r="S65" s="77"/>
      <c r="U65" s="673" t="s">
        <v>165</v>
      </c>
      <c r="V65" s="673"/>
      <c r="W65" s="673"/>
      <c r="X65" s="78" t="e">
        <f>VLOOKUP(CONCATENATE(J57,"-",R65),$C$2:$G$136,3,FALSE)</f>
        <v>#N/A</v>
      </c>
      <c r="Y65" s="78" t="e">
        <f>VLOOKUP(CONCATENATE(J57,"-",R65),$C$2:$G$136,4,FALSE)</f>
        <v>#N/A</v>
      </c>
      <c r="Z65" s="78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2" t="s">
        <v>167</v>
      </c>
      <c r="K66" s="672"/>
      <c r="L66" s="672"/>
      <c r="M66" s="672"/>
      <c r="N66" s="672"/>
      <c r="O66" s="672"/>
      <c r="P66" s="672"/>
      <c r="Q66" s="672"/>
      <c r="R66" s="76" t="s">
        <v>168</v>
      </c>
      <c r="S66" s="77"/>
      <c r="U66" s="673" t="s">
        <v>165</v>
      </c>
      <c r="V66" s="673"/>
      <c r="W66" s="673"/>
      <c r="X66" s="78">
        <v>3.6499999999999998E-2</v>
      </c>
      <c r="Y66" s="78">
        <v>3.6499999999999998E-2</v>
      </c>
      <c r="Z66" s="78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2" t="s">
        <v>169</v>
      </c>
      <c r="K67" s="672"/>
      <c r="L67" s="672"/>
      <c r="M67" s="672"/>
      <c r="N67" s="672"/>
      <c r="O67" s="672"/>
      <c r="P67" s="672"/>
      <c r="Q67" s="672"/>
      <c r="R67" s="76" t="s">
        <v>170</v>
      </c>
      <c r="S67" s="78">
        <f ca="1">IF(AND($J57&lt;&gt;$A$145,COUNTA(OFFSET(S60,1,0,6))&gt;0),$R$11*$R$10,0)</f>
        <v>0</v>
      </c>
      <c r="U67" s="673" t="s">
        <v>165</v>
      </c>
      <c r="V67" s="673"/>
      <c r="W67" s="673"/>
      <c r="X67" s="78">
        <v>0</v>
      </c>
      <c r="Y67" s="78">
        <v>2.5000000000000001E-2</v>
      </c>
      <c r="Z67" s="78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2" t="s">
        <v>171</v>
      </c>
      <c r="K68" s="672"/>
      <c r="L68" s="672"/>
      <c r="M68" s="672"/>
      <c r="N68" s="672"/>
      <c r="O68" s="672"/>
      <c r="P68" s="672"/>
      <c r="Q68" s="672"/>
      <c r="R68" s="76" t="s">
        <v>172</v>
      </c>
      <c r="S68" s="78">
        <f ca="1">IF(BDI.Opcao&lt;&gt;"Desonerado",0,IF(AND($J57&lt;&gt;$A$145,COUNTA(OFFSET(S60,1,0,6))&gt;0),4.5%,0%))</f>
        <v>0</v>
      </c>
      <c r="U68" s="673" t="s">
        <v>165</v>
      </c>
      <c r="V68" s="673"/>
      <c r="W68" s="673"/>
      <c r="X68" s="79">
        <v>0</v>
      </c>
      <c r="Y68" s="79">
        <v>4.4999999999999998E-2</v>
      </c>
      <c r="Z68" s="79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2" t="s">
        <v>173</v>
      </c>
      <c r="K69" s="672"/>
      <c r="L69" s="672"/>
      <c r="M69" s="672"/>
      <c r="N69" s="672"/>
      <c r="O69" s="672"/>
      <c r="P69" s="672"/>
      <c r="Q69" s="672"/>
      <c r="R69" s="80" t="s">
        <v>149</v>
      </c>
      <c r="S69" s="78">
        <f ca="1">IF($J57=$A$145,0,ROUND((((1+S61+S62+S63)*(1+S64)*(1+S65)/(1-(S66+S67)))-1),4))</f>
        <v>0</v>
      </c>
      <c r="U69" s="674" t="e">
        <f ca="1">IF(OR($J$17=$A$146,$J$17=$A$145,AND(S69&gt;=X69,S69&lt;=Z69)),"OK","FORA DO INTERVALO")</f>
        <v>#N/A</v>
      </c>
      <c r="V69" s="674"/>
      <c r="W69" s="674"/>
      <c r="X69" s="78" t="e">
        <f>IF($J57=$A$145,0,VLOOKUP(CONCATENATE($J57,"-",$R69),$C$2:$G$136,3,FALSE))</f>
        <v>#N/A</v>
      </c>
      <c r="Y69" s="78" t="e">
        <f>IF($J57=$A$145,0,VLOOKUP(CONCATENATE($J57,"-",$R69),$C$2:$G$136,4,FALSE))</f>
        <v>#N/A</v>
      </c>
      <c r="Z69" s="78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5" t="s">
        <v>174</v>
      </c>
      <c r="K70" s="675"/>
      <c r="L70" s="675"/>
      <c r="M70" s="675"/>
      <c r="N70" s="675"/>
      <c r="O70" s="675"/>
      <c r="P70" s="675"/>
      <c r="Q70" s="675"/>
      <c r="R70" s="81" t="s">
        <v>175</v>
      </c>
      <c r="S70" s="82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3" t="e">
        <f ca="1">IF(U69&lt;&gt;"ok","X","")</f>
        <v>#N/A</v>
      </c>
      <c r="K72" s="676" t="e">
        <f ca="1">IF(U69&lt;&gt;"ok","Anexo: Relatório Técnico Circunstanciado justificando a adoção do percentual de cada parcela do BDI.","")</f>
        <v>#N/A</v>
      </c>
      <c r="L72" s="676"/>
      <c r="M72" s="676"/>
      <c r="N72" s="676"/>
      <c r="O72" s="676"/>
      <c r="P72" s="676"/>
      <c r="Q72" s="676"/>
      <c r="R72" s="676"/>
      <c r="S72" s="676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8" t="s">
        <v>177</v>
      </c>
      <c r="K74" s="678"/>
      <c r="L74" s="678"/>
      <c r="M74" s="678"/>
      <c r="N74" s="678"/>
      <c r="O74" s="678"/>
      <c r="P74" s="678"/>
      <c r="Q74" s="678"/>
      <c r="R74" s="678"/>
      <c r="S74" s="678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4"/>
      <c r="K75" s="84"/>
      <c r="L75" s="84"/>
      <c r="M75" s="679" t="s">
        <v>178</v>
      </c>
      <c r="N75" s="680" t="str">
        <f>IF($J57=$A$146,"(1+K1+K2)*(1+K3)","(1+AC + S + R + G)*(1 + DF)*(1+L)")</f>
        <v>(1+AC + S + R + G)*(1 + DF)*(1+L)</v>
      </c>
      <c r="O75" s="680"/>
      <c r="P75" s="680"/>
      <c r="Q75" s="681" t="s">
        <v>179</v>
      </c>
      <c r="R75" s="84"/>
      <c r="S75" s="84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4"/>
      <c r="K76" s="84"/>
      <c r="L76" s="84"/>
      <c r="M76" s="679"/>
      <c r="N76" s="671" t="s">
        <v>180</v>
      </c>
      <c r="O76" s="671"/>
      <c r="P76" s="671"/>
      <c r="Q76" s="681"/>
      <c r="R76" s="84"/>
      <c r="S76" s="84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4"/>
      <c r="K77" s="84"/>
      <c r="L77" s="84"/>
      <c r="M77" s="85"/>
      <c r="N77" s="87"/>
      <c r="O77" s="87"/>
      <c r="P77" s="87"/>
      <c r="Q77" s="86"/>
      <c r="R77" s="84"/>
      <c r="S77" s="84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5"/>
      <c r="L78" s="665"/>
      <c r="M78" s="665"/>
      <c r="N78" s="665"/>
      <c r="O78" s="665"/>
      <c r="P78" s="665"/>
      <c r="Q78" s="665"/>
      <c r="R78" s="665"/>
      <c r="S78" s="665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80" s="665"/>
      <c r="L80" s="665"/>
      <c r="M80" s="665"/>
      <c r="N80" s="665"/>
      <c r="O80" s="665"/>
      <c r="P80" s="665"/>
      <c r="Q80" s="665"/>
      <c r="R80" s="665"/>
      <c r="S80" s="665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5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6"/>
      <c r="K83" s="666"/>
      <c r="L83" s="666"/>
      <c r="M83" s="666"/>
      <c r="N83" s="666"/>
      <c r="O83" s="666"/>
      <c r="P83" s="666"/>
      <c r="Q83" s="666"/>
      <c r="R83" s="666"/>
      <c r="S83" s="666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7" t="str">
        <f>Import.Município</f>
        <v>CÉU AZUL/PR</v>
      </c>
      <c r="K85" s="667"/>
      <c r="L85" s="667"/>
      <c r="M85" s="667"/>
      <c r="P85" s="668">
        <f>DADOS!$F$25</f>
        <v>45146</v>
      </c>
      <c r="Q85" s="668"/>
      <c r="R85" s="668"/>
      <c r="S85" s="668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9" t="s">
        <v>187</v>
      </c>
      <c r="K86" s="669"/>
      <c r="L86" s="669"/>
      <c r="M86" s="669"/>
      <c r="O86" s="89"/>
      <c r="P86" s="90" t="s">
        <v>188</v>
      </c>
      <c r="Q86" s="91"/>
      <c r="R86" s="91"/>
      <c r="S86" s="91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70"/>
      <c r="K88" s="670"/>
      <c r="L88" s="670"/>
      <c r="M88" s="670"/>
      <c r="N88" s="92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4" t="s">
        <v>189</v>
      </c>
      <c r="K89" s="664"/>
      <c r="L89" s="664"/>
      <c r="M89" s="664"/>
      <c r="N89" s="93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4" t="s">
        <v>107</v>
      </c>
      <c r="K90" s="95" t="str">
        <f t="array" ref="K90:K92">Import.RespOrçamento</f>
        <v>GIAN CARLOS BORTOLINI VALLI</v>
      </c>
      <c r="L90" s="96"/>
      <c r="M90" s="96"/>
      <c r="N90" s="97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4" t="s">
        <v>108</v>
      </c>
      <c r="K91" s="95" t="str">
        <v>CREA 163755/D</v>
      </c>
      <c r="L91" s="96"/>
      <c r="M91" s="96"/>
      <c r="N91" s="97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4" t="s">
        <v>109</v>
      </c>
      <c r="K92" s="95">
        <v>0</v>
      </c>
      <c r="L92" s="96"/>
      <c r="M92" s="96"/>
      <c r="N92" s="97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4"/>
      <c r="K93" s="98"/>
      <c r="L93" s="96"/>
      <c r="M93" s="96"/>
      <c r="N93" s="97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6" t="s">
        <v>191</v>
      </c>
      <c r="K94" s="686"/>
      <c r="L94" s="686"/>
      <c r="M94" s="686"/>
      <c r="N94" s="686"/>
      <c r="O94" s="686"/>
      <c r="P94" s="686"/>
      <c r="Q94" s="686"/>
      <c r="R94" s="686"/>
      <c r="S94" s="686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4" t="s">
        <v>156</v>
      </c>
      <c r="K96" s="684"/>
      <c r="L96" s="684"/>
      <c r="M96" s="684"/>
      <c r="N96" s="684"/>
      <c r="O96" s="684"/>
      <c r="P96" s="684"/>
      <c r="Q96" s="684"/>
      <c r="R96" s="684"/>
      <c r="S96" s="684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5" t="s">
        <v>407</v>
      </c>
      <c r="K97" s="685"/>
      <c r="L97" s="685"/>
      <c r="M97" s="685"/>
      <c r="N97" s="685"/>
      <c r="O97" s="685"/>
      <c r="P97" s="685"/>
      <c r="Q97" s="685"/>
      <c r="R97" s="685"/>
      <c r="S97" s="685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3" t="s">
        <v>157</v>
      </c>
      <c r="K99" s="683"/>
      <c r="L99" s="683"/>
      <c r="M99" s="683"/>
      <c r="N99" s="683"/>
      <c r="O99" s="683"/>
      <c r="P99" s="683"/>
      <c r="Q99" s="683"/>
      <c r="R99" s="683" t="s">
        <v>158</v>
      </c>
      <c r="S99" s="674" t="s">
        <v>159</v>
      </c>
      <c r="U99" s="674" t="s">
        <v>160</v>
      </c>
      <c r="V99" s="674"/>
      <c r="W99" s="674"/>
      <c r="X99" s="682" t="s">
        <v>161</v>
      </c>
      <c r="Y99" s="682" t="s">
        <v>162</v>
      </c>
      <c r="Z99" s="682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3"/>
      <c r="K100" s="683"/>
      <c r="L100" s="683"/>
      <c r="M100" s="683"/>
      <c r="N100" s="683"/>
      <c r="O100" s="683"/>
      <c r="P100" s="683"/>
      <c r="Q100" s="683"/>
      <c r="R100" s="683"/>
      <c r="S100" s="674"/>
      <c r="U100" s="674"/>
      <c r="V100" s="674"/>
      <c r="W100" s="674"/>
      <c r="X100" s="682"/>
      <c r="Y100" s="682"/>
      <c r="Z100" s="682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2" t="str">
        <f>IF($J$17=$A$146,"Encargos Sociais incidentes sobre a mão de obra","Administração Central")</f>
        <v>Administração Central</v>
      </c>
      <c r="K101" s="672"/>
      <c r="L101" s="672"/>
      <c r="M101" s="672"/>
      <c r="N101" s="672"/>
      <c r="O101" s="672"/>
      <c r="P101" s="672"/>
      <c r="Q101" s="672"/>
      <c r="R101" s="76" t="str">
        <f>IF($J97=$A$146,"K1","AC")</f>
        <v>AC</v>
      </c>
      <c r="S101" s="77"/>
      <c r="U101" s="673" t="s">
        <v>165</v>
      </c>
      <c r="V101" s="673"/>
      <c r="W101" s="673"/>
      <c r="X101" s="78" t="e">
        <f>VLOOKUP(CONCATENATE(J97,"-",R101),$C$2:$G$136,3,FALSE)</f>
        <v>#N/A</v>
      </c>
      <c r="Y101" s="78" t="e">
        <f>VLOOKUP(CONCATENATE(J97,"-",R101),$C$2:$G$136,4,FALSE)</f>
        <v>#N/A</v>
      </c>
      <c r="Z101" s="78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2" t="str">
        <f>IF($J$17=$A$146,"Administração Central da empresa ou consultoria - overhead","Seguro e Garantia")</f>
        <v>Seguro e Garantia</v>
      </c>
      <c r="K102" s="672"/>
      <c r="L102" s="672"/>
      <c r="M102" s="672"/>
      <c r="N102" s="672"/>
      <c r="O102" s="672"/>
      <c r="P102" s="672"/>
      <c r="Q102" s="672"/>
      <c r="R102" s="76" t="str">
        <f>IF($J97=$A$146,"K2","SG")</f>
        <v>SG</v>
      </c>
      <c r="S102" s="77"/>
      <c r="U102" s="673" t="s">
        <v>165</v>
      </c>
      <c r="V102" s="673"/>
      <c r="W102" s="673"/>
      <c r="X102" s="78" t="e">
        <f>VLOOKUP(CONCATENATE(J97,"-",R102),$C$2:$G$136,3,FALSE)</f>
        <v>#N/A</v>
      </c>
      <c r="Y102" s="78" t="e">
        <f>VLOOKUP(CONCATENATE(J97,"-",R102),$C$2:$G$136,4,FALSE)</f>
        <v>#N/A</v>
      </c>
      <c r="Z102" s="78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2" t="str">
        <f>IF($J$17=$A$146,"","Risco")</f>
        <v>Risco</v>
      </c>
      <c r="K103" s="672"/>
      <c r="L103" s="672"/>
      <c r="M103" s="672"/>
      <c r="N103" s="672"/>
      <c r="O103" s="672"/>
      <c r="P103" s="672"/>
      <c r="Q103" s="672"/>
      <c r="R103" s="76" t="str">
        <f>IF($J97=$A$146,"","R")</f>
        <v>R</v>
      </c>
      <c r="S103" s="77"/>
      <c r="U103" s="673" t="s">
        <v>165</v>
      </c>
      <c r="V103" s="673"/>
      <c r="W103" s="673"/>
      <c r="X103" s="78" t="e">
        <f>VLOOKUP(CONCATENATE(J97,"-",R103),$C$2:$G$136,3,FALSE)</f>
        <v>#N/A</v>
      </c>
      <c r="Y103" s="78" t="e">
        <f>VLOOKUP(CONCATENATE(J97,"-",R103),$C$2:$G$136,4,FALSE)</f>
        <v>#N/A</v>
      </c>
      <c r="Z103" s="78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2" t="str">
        <f>IF($J$17=$A$146,"","Despesas Financeiras")</f>
        <v>Despesas Financeiras</v>
      </c>
      <c r="K104" s="672"/>
      <c r="L104" s="672"/>
      <c r="M104" s="672"/>
      <c r="N104" s="672"/>
      <c r="O104" s="672"/>
      <c r="P104" s="672"/>
      <c r="Q104" s="672"/>
      <c r="R104" s="76" t="str">
        <f>IF($J97=$A$146,"","DF")</f>
        <v>DF</v>
      </c>
      <c r="S104" s="77"/>
      <c r="U104" s="673" t="s">
        <v>165</v>
      </c>
      <c r="V104" s="673"/>
      <c r="W104" s="673"/>
      <c r="X104" s="78" t="e">
        <f>VLOOKUP(CONCATENATE(J97,"-",R104),$C$2:$G$136,3,FALSE)</f>
        <v>#N/A</v>
      </c>
      <c r="Y104" s="78" t="e">
        <f>VLOOKUP(CONCATENATE(J97,"-",R104),$C$2:$G$136,4,FALSE)</f>
        <v>#N/A</v>
      </c>
      <c r="Z104" s="78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2" t="str">
        <f>IF($J$17=$A$146,"Margem bruta da empresa de consultoria","Lucro")</f>
        <v>Lucro</v>
      </c>
      <c r="K105" s="672"/>
      <c r="L105" s="672"/>
      <c r="M105" s="672"/>
      <c r="N105" s="672"/>
      <c r="O105" s="672"/>
      <c r="P105" s="672"/>
      <c r="Q105" s="672"/>
      <c r="R105" s="76" t="str">
        <f>IF($J97=$A$146,"K3","L")</f>
        <v>L</v>
      </c>
      <c r="S105" s="77"/>
      <c r="U105" s="673" t="s">
        <v>165</v>
      </c>
      <c r="V105" s="673"/>
      <c r="W105" s="673"/>
      <c r="X105" s="78" t="e">
        <f>VLOOKUP(CONCATENATE(J97,"-",R105),$C$2:$G$136,3,FALSE)</f>
        <v>#N/A</v>
      </c>
      <c r="Y105" s="78" t="e">
        <f>VLOOKUP(CONCATENATE(J97,"-",R105),$C$2:$G$136,4,FALSE)</f>
        <v>#N/A</v>
      </c>
      <c r="Z105" s="78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2" t="s">
        <v>167</v>
      </c>
      <c r="K106" s="672"/>
      <c r="L106" s="672"/>
      <c r="M106" s="672"/>
      <c r="N106" s="672"/>
      <c r="O106" s="672"/>
      <c r="P106" s="672"/>
      <c r="Q106" s="672"/>
      <c r="R106" s="76" t="s">
        <v>168</v>
      </c>
      <c r="S106" s="77"/>
      <c r="U106" s="673" t="s">
        <v>165</v>
      </c>
      <c r="V106" s="673"/>
      <c r="W106" s="673"/>
      <c r="X106" s="78">
        <v>3.6499999999999998E-2</v>
      </c>
      <c r="Y106" s="78">
        <v>3.6499999999999998E-2</v>
      </c>
      <c r="Z106" s="78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2" t="s">
        <v>169</v>
      </c>
      <c r="K107" s="672"/>
      <c r="L107" s="672"/>
      <c r="M107" s="672"/>
      <c r="N107" s="672"/>
      <c r="O107" s="672"/>
      <c r="P107" s="672"/>
      <c r="Q107" s="672"/>
      <c r="R107" s="76" t="s">
        <v>170</v>
      </c>
      <c r="S107" s="78">
        <f ca="1">IF(AND($J97&lt;&gt;$A$145,COUNTA(OFFSET(S100,1,0,6))&gt;0),$R$11*$R$10,0)</f>
        <v>0</v>
      </c>
      <c r="U107" s="673" t="s">
        <v>165</v>
      </c>
      <c r="V107" s="673"/>
      <c r="W107" s="673"/>
      <c r="X107" s="78">
        <v>0</v>
      </c>
      <c r="Y107" s="78">
        <v>2.5000000000000001E-2</v>
      </c>
      <c r="Z107" s="78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2" t="s">
        <v>171</v>
      </c>
      <c r="K108" s="672"/>
      <c r="L108" s="672"/>
      <c r="M108" s="672"/>
      <c r="N108" s="672"/>
      <c r="O108" s="672"/>
      <c r="P108" s="672"/>
      <c r="Q108" s="672"/>
      <c r="R108" s="76" t="s">
        <v>172</v>
      </c>
      <c r="S108" s="78">
        <f ca="1">IF(BDI.Opcao&lt;&gt;"Desonerado",0,IF(AND($J97&lt;&gt;$A$145,COUNTA(OFFSET(S100,1,0,6))&gt;0),4.5%,0%))</f>
        <v>0</v>
      </c>
      <c r="U108" s="673" t="s">
        <v>165</v>
      </c>
      <c r="V108" s="673"/>
      <c r="W108" s="673"/>
      <c r="X108" s="79">
        <v>0</v>
      </c>
      <c r="Y108" s="79">
        <v>4.4999999999999998E-2</v>
      </c>
      <c r="Z108" s="79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2" t="s">
        <v>173</v>
      </c>
      <c r="K109" s="672"/>
      <c r="L109" s="672"/>
      <c r="M109" s="672"/>
      <c r="N109" s="672"/>
      <c r="O109" s="672"/>
      <c r="P109" s="672"/>
      <c r="Q109" s="672"/>
      <c r="R109" s="80" t="s">
        <v>149</v>
      </c>
      <c r="S109" s="78">
        <f ca="1">IF($J97=$A$145,0,ROUND((((1+S101+S102+S103)*(1+S104)*(1+S105)/(1-(S106+S107)))-1),4))</f>
        <v>0</v>
      </c>
      <c r="U109" s="674" t="e">
        <f ca="1">IF(OR($J$17=$A$146,$J$17=$A$145,AND(S109&gt;=X109,S109&lt;=Z109)),"OK","FORA DO INTERVALO")</f>
        <v>#N/A</v>
      </c>
      <c r="V109" s="674"/>
      <c r="W109" s="674"/>
      <c r="X109" s="78" t="e">
        <f>IF($J97=$A$145,0,VLOOKUP(CONCATENATE($J97,"-",$R109),$C$2:$G$136,3,FALSE))</f>
        <v>#N/A</v>
      </c>
      <c r="Y109" s="78" t="e">
        <f>IF($J97=$A$145,0,VLOOKUP(CONCATENATE($J97,"-",$R109),$C$2:$G$136,4,FALSE))</f>
        <v>#N/A</v>
      </c>
      <c r="Z109" s="78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5" t="s">
        <v>174</v>
      </c>
      <c r="K110" s="675"/>
      <c r="L110" s="675"/>
      <c r="M110" s="675"/>
      <c r="N110" s="675"/>
      <c r="O110" s="675"/>
      <c r="P110" s="675"/>
      <c r="Q110" s="675"/>
      <c r="R110" s="81" t="s">
        <v>175</v>
      </c>
      <c r="S110" s="82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3" t="e">
        <f ca="1">IF(U109&lt;&gt;"ok","X","")</f>
        <v>#N/A</v>
      </c>
      <c r="K112" s="676" t="e">
        <f ca="1">IF(U109&lt;&gt;"ok","Anexo: Relatório Técnico Circunstanciado justificando a adoção do percentual de cada parcela do BDI.","")</f>
        <v>#N/A</v>
      </c>
      <c r="L112" s="676"/>
      <c r="M112" s="676"/>
      <c r="N112" s="676"/>
      <c r="O112" s="676"/>
      <c r="P112" s="676"/>
      <c r="Q112" s="676"/>
      <c r="R112" s="676"/>
      <c r="S112" s="676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8" t="s">
        <v>177</v>
      </c>
      <c r="K114" s="678"/>
      <c r="L114" s="678"/>
      <c r="M114" s="678"/>
      <c r="N114" s="678"/>
      <c r="O114" s="678"/>
      <c r="P114" s="678"/>
      <c r="Q114" s="678"/>
      <c r="R114" s="678"/>
      <c r="S114" s="678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4"/>
      <c r="K115" s="84"/>
      <c r="L115" s="84"/>
      <c r="M115" s="679" t="s">
        <v>178</v>
      </c>
      <c r="N115" s="680" t="str">
        <f>IF($J97=$A$146,"(1+K1+K2)*(1+K3)","(1+AC + S + R + G)*(1 + DF)*(1+L)")</f>
        <v>(1+AC + S + R + G)*(1 + DF)*(1+L)</v>
      </c>
      <c r="O115" s="680"/>
      <c r="P115" s="680"/>
      <c r="Q115" s="681" t="s">
        <v>179</v>
      </c>
      <c r="R115" s="84"/>
      <c r="S115" s="84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4"/>
      <c r="K116" s="84"/>
      <c r="L116" s="84"/>
      <c r="M116" s="679"/>
      <c r="N116" s="671" t="s">
        <v>180</v>
      </c>
      <c r="O116" s="671"/>
      <c r="P116" s="671"/>
      <c r="Q116" s="681"/>
      <c r="R116" s="84"/>
      <c r="S116" s="84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4"/>
      <c r="K117" s="84"/>
      <c r="L117" s="84"/>
      <c r="M117" s="85"/>
      <c r="N117" s="87"/>
      <c r="O117" s="87"/>
      <c r="P117" s="87"/>
      <c r="Q117" s="86"/>
      <c r="R117" s="84"/>
      <c r="S117" s="84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5"/>
      <c r="L118" s="665"/>
      <c r="M118" s="665"/>
      <c r="N118" s="665"/>
      <c r="O118" s="665"/>
      <c r="P118" s="665"/>
      <c r="Q118" s="665"/>
      <c r="R118" s="665"/>
      <c r="S118" s="665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120" s="665"/>
      <c r="L120" s="665"/>
      <c r="M120" s="665"/>
      <c r="N120" s="665"/>
      <c r="O120" s="665"/>
      <c r="P120" s="665"/>
      <c r="Q120" s="665"/>
      <c r="R120" s="665"/>
      <c r="S120" s="665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5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7" t="str">
        <f>Import.Município</f>
        <v>CÉU AZUL/PR</v>
      </c>
      <c r="K125" s="667"/>
      <c r="L125" s="667"/>
      <c r="M125" s="667"/>
      <c r="P125" s="668">
        <f>DADOS!$F$25</f>
        <v>45146</v>
      </c>
      <c r="Q125" s="668"/>
      <c r="R125" s="668"/>
      <c r="S125" s="668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9" t="s">
        <v>187</v>
      </c>
      <c r="K126" s="669"/>
      <c r="L126" s="669"/>
      <c r="M126" s="669"/>
      <c r="O126" s="89"/>
      <c r="P126" s="90" t="s">
        <v>188</v>
      </c>
      <c r="Q126" s="91"/>
      <c r="R126" s="91"/>
      <c r="S126" s="91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70"/>
      <c r="K128" s="670"/>
      <c r="L128" s="670"/>
      <c r="M128" s="670"/>
      <c r="N128" s="92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4" t="s">
        <v>189</v>
      </c>
      <c r="K129" s="664"/>
      <c r="L129" s="664"/>
      <c r="M129" s="664"/>
      <c r="N129" s="93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4" t="s">
        <v>107</v>
      </c>
      <c r="K130" s="95" t="str">
        <f t="array" ref="K130:K132">Import.RespOrçamento</f>
        <v>GIAN CARLOS BORTOLINI VALLI</v>
      </c>
      <c r="L130" s="96"/>
      <c r="M130" s="96"/>
      <c r="N130" s="97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4" t="s">
        <v>108</v>
      </c>
      <c r="K131" s="95" t="str">
        <v>CREA 163755/D</v>
      </c>
      <c r="L131" s="96"/>
      <c r="M131" s="96"/>
      <c r="N131" s="97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4" t="s">
        <v>109</v>
      </c>
      <c r="K132" s="95">
        <v>0</v>
      </c>
      <c r="L132" s="96"/>
      <c r="M132" s="96"/>
      <c r="N132" s="97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5" t="s">
        <v>407</v>
      </c>
    </row>
    <row r="139" spans="1:14" x14ac:dyDescent="0.2">
      <c r="A139" s="65" t="s">
        <v>140</v>
      </c>
    </row>
    <row r="140" spans="1:14" x14ac:dyDescent="0.2">
      <c r="A140" s="65" t="s">
        <v>151</v>
      </c>
    </row>
    <row r="141" spans="1:14" x14ac:dyDescent="0.2">
      <c r="A141" s="65" t="s">
        <v>154</v>
      </c>
    </row>
    <row r="142" spans="1:14" x14ac:dyDescent="0.2">
      <c r="A142" s="65" t="s">
        <v>164</v>
      </c>
    </row>
    <row r="143" spans="1:14" x14ac:dyDescent="0.2">
      <c r="A143" s="65" t="s">
        <v>166</v>
      </c>
    </row>
    <row r="144" spans="1:14" x14ac:dyDescent="0.2">
      <c r="A144" s="65" t="s">
        <v>176</v>
      </c>
    </row>
    <row r="145" spans="1:1" x14ac:dyDescent="0.2">
      <c r="A145" s="65" t="s">
        <v>181</v>
      </c>
    </row>
    <row r="146" spans="1:1" x14ac:dyDescent="0.2">
      <c r="A146" s="65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V23" sqref="V23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99"/>
      <c r="B1" s="99"/>
      <c r="C1" s="99"/>
      <c r="D1" s="99"/>
      <c r="F1" s="100"/>
      <c r="G1" s="3"/>
      <c r="H1" s="99"/>
      <c r="I1" s="99"/>
      <c r="J1" s="99"/>
      <c r="K1" s="99"/>
      <c r="L1" s="99"/>
      <c r="M1" s="101"/>
      <c r="N1" s="101"/>
      <c r="O1" s="99"/>
      <c r="P1" s="99"/>
      <c r="Q1" s="99"/>
      <c r="R1" s="102" t="s">
        <v>192</v>
      </c>
      <c r="S1" s="99"/>
      <c r="T1" s="102"/>
      <c r="U1" s="99"/>
      <c r="V1" s="99"/>
      <c r="W1" s="99"/>
      <c r="X1" s="68" t="s">
        <v>139</v>
      </c>
      <c r="Y1" s="103"/>
      <c r="Z1" s="103"/>
      <c r="AA1" s="103"/>
      <c r="AB1" s="103"/>
      <c r="AC1" s="104"/>
      <c r="AD1" s="104"/>
      <c r="AG1" s="104"/>
      <c r="AH1" s="104"/>
      <c r="AN1" s="104"/>
    </row>
    <row r="2" spans="1:40" ht="24.75" customHeight="1" x14ac:dyDescent="0.2">
      <c r="A2" s="104"/>
      <c r="B2" s="104"/>
      <c r="C2" s="104"/>
      <c r="D2" s="105" t="s">
        <v>193</v>
      </c>
      <c r="E2" s="105" t="s">
        <v>194</v>
      </c>
      <c r="F2" s="105" t="s">
        <v>195</v>
      </c>
      <c r="G2" s="105" t="s">
        <v>196</v>
      </c>
      <c r="H2" s="105" t="s">
        <v>197</v>
      </c>
      <c r="I2" s="105" t="s">
        <v>198</v>
      </c>
      <c r="J2" s="104"/>
      <c r="K2" s="104"/>
      <c r="L2" s="104"/>
      <c r="M2" s="104"/>
      <c r="N2" s="104"/>
      <c r="O2" s="104"/>
      <c r="P2" s="104"/>
      <c r="Q2" s="104"/>
      <c r="R2" s="106" t="str">
        <f>IF(TIPOORCAMENTO="licitado","Orçamento Licitado","Orçamento Base para Licitação")&amp;" - "&amp;import.recurso</f>
        <v>Orçamento Base para Licitação - (SELECIONAR)</v>
      </c>
      <c r="S2" s="104"/>
      <c r="T2" s="104"/>
      <c r="U2" s="104"/>
      <c r="V2" s="104"/>
      <c r="W2" s="104"/>
      <c r="X2" s="14" t="s">
        <v>142</v>
      </c>
      <c r="Y2" s="107"/>
      <c r="Z2" s="107"/>
      <c r="AA2" s="107"/>
      <c r="AB2" s="107"/>
      <c r="AC2" s="104"/>
      <c r="AD2" s="104"/>
      <c r="AH2" s="104"/>
    </row>
    <row r="3" spans="1:40" x14ac:dyDescent="0.2">
      <c r="A3" s="104"/>
      <c r="B3" s="104"/>
      <c r="C3" s="104"/>
      <c r="D3" s="104"/>
      <c r="F3" s="100"/>
      <c r="H3" s="108"/>
      <c r="I3" s="104"/>
      <c r="J3" s="104"/>
      <c r="K3" s="104"/>
      <c r="L3" s="104"/>
      <c r="M3" s="104"/>
      <c r="N3" s="104"/>
      <c r="O3" s="104"/>
      <c r="P3" s="104"/>
      <c r="Q3" s="104"/>
      <c r="R3" s="109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G3" s="104"/>
      <c r="AH3" s="104"/>
      <c r="AN3" s="104"/>
    </row>
    <row r="4" spans="1:40" x14ac:dyDescent="0.2">
      <c r="A4" s="104" t="s">
        <v>200</v>
      </c>
      <c r="B4" s="104"/>
      <c r="C4" s="104"/>
      <c r="D4" s="104"/>
      <c r="F4" s="100" t="s">
        <v>155</v>
      </c>
      <c r="G4" s="100" t="s">
        <v>190</v>
      </c>
      <c r="H4" s="100" t="s">
        <v>191</v>
      </c>
      <c r="I4" s="110">
        <v>0</v>
      </c>
      <c r="J4" s="104"/>
      <c r="K4" s="104"/>
      <c r="L4" s="104"/>
      <c r="M4" s="104"/>
      <c r="N4" s="104"/>
      <c r="O4" s="684" t="s">
        <v>438</v>
      </c>
      <c r="P4" s="684"/>
      <c r="Q4" s="111" t="s">
        <v>439</v>
      </c>
      <c r="R4" s="111" t="s">
        <v>146</v>
      </c>
      <c r="S4" s="684" t="s">
        <v>201</v>
      </c>
      <c r="T4" s="684"/>
      <c r="U4" s="684"/>
      <c r="V4" s="684"/>
      <c r="W4" s="684"/>
      <c r="X4" s="684"/>
      <c r="Y4" s="94"/>
      <c r="Z4" s="94"/>
      <c r="AA4" s="94"/>
      <c r="AB4" s="94"/>
      <c r="AC4" s="104"/>
      <c r="AG4" s="104"/>
      <c r="AH4" s="104"/>
      <c r="AN4" s="104"/>
    </row>
    <row r="5" spans="1:40" ht="12.75" customHeight="1" x14ac:dyDescent="0.2">
      <c r="A5" s="114">
        <f ca="1">MAX($C$15:$C$266)</f>
        <v>2</v>
      </c>
      <c r="B5" s="114"/>
      <c r="C5" s="114"/>
      <c r="D5" s="104"/>
      <c r="F5" s="115">
        <f ca="1">IF(BDI.Opcao="DESONERADO",BDI!$S$30,BDI!$S$29)</f>
        <v>0.25</v>
      </c>
      <c r="G5" s="116">
        <f ca="1">IF(BDI.Opcao="DESONERADO",BDI!$S$70,BDI!$S$69)</f>
        <v>0</v>
      </c>
      <c r="H5" s="116">
        <f ca="1">IF(BDI.Opcao="DESONERADO",BDI!$S$110,BDI!$S$109)</f>
        <v>0</v>
      </c>
      <c r="I5" s="104"/>
      <c r="J5" s="104"/>
      <c r="K5" s="104"/>
      <c r="L5" s="104"/>
      <c r="M5" s="104"/>
      <c r="N5" s="104"/>
      <c r="O5" s="687">
        <f>Import.CR</f>
        <v>0</v>
      </c>
      <c r="P5" s="687"/>
      <c r="Q5" s="117">
        <f>Import.SICONV</f>
        <v>0</v>
      </c>
      <c r="R5" s="118" t="str">
        <f>Import.Proponente</f>
        <v>MUNICIPIO DE CÉU AZUL</v>
      </c>
      <c r="S5" s="687" t="str">
        <f>Import.Apelido</f>
        <v>PAÇO MUNICIPAL</v>
      </c>
      <c r="T5" s="687"/>
      <c r="U5" s="687"/>
      <c r="V5" s="687"/>
      <c r="W5" s="687"/>
      <c r="X5" s="687"/>
      <c r="Y5" s="119"/>
      <c r="Z5" s="119"/>
      <c r="AA5" s="119"/>
      <c r="AB5" s="119"/>
      <c r="AC5" s="104"/>
      <c r="AE5" s="694" t="s">
        <v>199</v>
      </c>
      <c r="AF5" s="694"/>
    </row>
    <row r="6" spans="1:40" ht="5.0999999999999996" customHeight="1" x14ac:dyDescent="0.2">
      <c r="A6" s="114"/>
      <c r="B6" s="114"/>
      <c r="C6" s="114"/>
      <c r="D6" s="104"/>
      <c r="F6" s="100"/>
      <c r="H6" s="108"/>
      <c r="I6" s="104"/>
      <c r="J6" s="104"/>
      <c r="K6" s="104"/>
      <c r="L6" s="104"/>
      <c r="M6" s="104"/>
      <c r="N6" s="104"/>
      <c r="O6" s="121"/>
      <c r="P6" s="121"/>
      <c r="Q6" s="122"/>
      <c r="R6" s="122"/>
      <c r="S6" s="121"/>
      <c r="T6" s="121"/>
      <c r="U6" s="121"/>
      <c r="V6" s="121"/>
      <c r="W6" s="121"/>
      <c r="X6" s="121"/>
      <c r="Y6" s="119"/>
      <c r="Z6" s="119"/>
      <c r="AA6" s="119"/>
      <c r="AB6" s="119"/>
      <c r="AC6" s="123"/>
      <c r="AE6" s="112"/>
      <c r="AF6" s="113"/>
      <c r="AG6" s="104"/>
      <c r="AH6" s="104"/>
      <c r="AN6" s="104"/>
    </row>
    <row r="7" spans="1:40" ht="12.75" customHeight="1" x14ac:dyDescent="0.2">
      <c r="A7" s="104"/>
      <c r="B7" s="104"/>
      <c r="C7" s="104"/>
      <c r="D7" s="104"/>
      <c r="F7" s="100"/>
      <c r="H7" s="108"/>
      <c r="I7" s="104"/>
      <c r="J7" s="104"/>
      <c r="K7" s="104"/>
      <c r="L7" s="104"/>
      <c r="M7" s="104"/>
      <c r="N7" s="104"/>
      <c r="O7" s="684" t="s">
        <v>203</v>
      </c>
      <c r="P7" s="684"/>
      <c r="Q7" s="111" t="s">
        <v>204</v>
      </c>
      <c r="R7" s="111" t="str">
        <f>IF(TIPOORCAMENTO="Licitado","NOME DA EMPRESA","DESCRIÇÃO DO LOTE")</f>
        <v>DESCRIÇÃO DO LOTE</v>
      </c>
      <c r="S7" s="695" t="str">
        <f>IF(TIPOORCAMENTO="Licitado","REGIME DE EXECUÇÃO","MUNICÍPIO / UF")</f>
        <v>MUNICÍPIO / UF</v>
      </c>
      <c r="T7" s="695"/>
      <c r="U7" s="695"/>
      <c r="V7" s="125" t="str">
        <f>IF(TIPOORCAMENTO="Licitado","","BDI 1")</f>
        <v>BDI 1</v>
      </c>
      <c r="W7" s="125" t="str">
        <f>IF(TIPOORCAMENTO="Licitado","","BDI 2")</f>
        <v>BDI 2</v>
      </c>
      <c r="X7" s="126" t="str">
        <f>IF(TIPOORCAMENTO="Licitado","Nº CTEF","BDI 3")</f>
        <v>BDI 3</v>
      </c>
      <c r="Y7" s="125"/>
      <c r="Z7" s="125"/>
      <c r="AA7" s="127"/>
      <c r="AB7" s="127"/>
      <c r="AC7" s="100"/>
      <c r="AE7" s="112" t="s">
        <v>202</v>
      </c>
      <c r="AF7" s="120" t="b">
        <v>1</v>
      </c>
      <c r="AJ7" s="698" t="s">
        <v>206</v>
      </c>
      <c r="AL7" s="696" t="s">
        <v>207</v>
      </c>
    </row>
    <row r="8" spans="1:40" ht="12.75" customHeight="1" x14ac:dyDescent="0.2">
      <c r="A8" s="114"/>
      <c r="B8" s="114"/>
      <c r="C8" s="114"/>
      <c r="D8" s="104"/>
      <c r="F8" s="699" t="str">
        <f ca="1">IF(LEN(INFO("release"))&gt;5,"'Referência "&amp;Excel_BuiltIn_Database&amp;".xls'#Banco.$a5:$a$65536","'[Referência "&amp;Excel_BuiltIn_Database&amp;".xls]Banco'!$a5:$a$65536")</f>
        <v>'[Referência 05-2023.xls]Banco'!$a5:$a$65536</v>
      </c>
      <c r="G8" s="699"/>
      <c r="H8" s="699"/>
      <c r="I8" s="699"/>
      <c r="J8" s="699"/>
      <c r="K8" s="699"/>
      <c r="L8" s="677" t="s">
        <v>208</v>
      </c>
      <c r="M8" s="104"/>
      <c r="N8" s="104"/>
      <c r="O8" s="687" t="str">
        <f ca="1">IF(ISERROR(INDIRECT($F$9)),"(N/D: 'Referência "&amp;Excel_BuiltIn_Database&amp;".xls)",INDIRECT($F$9))</f>
        <v>(N/D: 'Referência 05-2023.xls)</v>
      </c>
      <c r="P8" s="687"/>
      <c r="Q8" s="128" t="str">
        <f ca="1">TEXT(Import.DataBase,"mm-aa")&amp;IF(DESONERACAO="Sim"," (DES.)"," (N DES.)")</f>
        <v>05-23 (N DES.)</v>
      </c>
      <c r="R8" s="118" t="str">
        <f>IF(TIPOORCAMENTO="Licitado",Import.empresa,Import.DescLote)</f>
        <v>REFORMA DO PAÇO MUNICIPAL</v>
      </c>
      <c r="S8" s="700" t="str">
        <f>IF(TIPOORCAMENTO="Licitado",Import.RegimeExecução,Import.Município)</f>
        <v>CÉU AZUL/PR</v>
      </c>
      <c r="T8" s="700"/>
      <c r="U8" s="700"/>
      <c r="V8" s="129" t="str">
        <f ca="1">IF(TIPOORCAMENTO="Licitado","",TEXT(F5,"0,00%"))</f>
        <v>25,00%</v>
      </c>
      <c r="W8" s="129" t="str">
        <f ca="1">IF(TIPOORCAMENTO="Licitado","",TEXT(G5,"0,00%"))</f>
        <v>0,00%</v>
      </c>
      <c r="X8" s="130" t="str">
        <f ca="1">IF(TIPOORCAMENTO="Licitado",Import.CTEF,TEXT(H5,"0,00%"))</f>
        <v>0,00%</v>
      </c>
      <c r="Y8" s="677" t="s">
        <v>209</v>
      </c>
      <c r="Z8" s="677" t="s">
        <v>210</v>
      </c>
      <c r="AA8" s="131"/>
      <c r="AB8" s="131"/>
      <c r="AE8" s="112" t="s">
        <v>205</v>
      </c>
      <c r="AF8" s="120" t="b">
        <v>1</v>
      </c>
      <c r="AG8" s="104"/>
      <c r="AH8" s="104"/>
      <c r="AJ8" s="698"/>
      <c r="AL8" s="696"/>
      <c r="AN8" s="104"/>
    </row>
    <row r="9" spans="1:40" ht="12.75" customHeight="1" x14ac:dyDescent="0.2">
      <c r="A9" s="104"/>
      <c r="B9" s="104"/>
      <c r="C9" s="104"/>
      <c r="D9" s="104"/>
      <c r="F9" s="699" t="str">
        <f ca="1">IF(LEN(INFO("release"))&gt;5,"'Referência "&amp;Excel_BuiltIn_Database&amp;".xls'#Banco.$d$3","'[Referência "&amp;Excel_BuiltIn_Database&amp;".xls]Banco'!$d$3")</f>
        <v>'[Referência 05-2023.xls]Banco'!$d$3</v>
      </c>
      <c r="G9" s="699"/>
      <c r="H9" s="699"/>
      <c r="I9" s="699"/>
      <c r="J9" s="699"/>
      <c r="K9" s="699"/>
      <c r="L9" s="677"/>
      <c r="M9" s="104"/>
      <c r="N9" s="104"/>
      <c r="O9" s="16"/>
      <c r="P9" s="104"/>
      <c r="Q9" s="104"/>
      <c r="R9" s="104"/>
      <c r="S9" s="104"/>
      <c r="T9" s="104"/>
      <c r="U9" s="104"/>
      <c r="V9" s="104"/>
      <c r="W9" s="104"/>
      <c r="X9" s="104"/>
      <c r="Y9" s="677"/>
      <c r="Z9" s="677"/>
      <c r="AA9" s="104"/>
      <c r="AB9" s="104"/>
      <c r="AC9" s="104"/>
      <c r="AD9" s="104"/>
      <c r="AE9" s="112" t="s">
        <v>211</v>
      </c>
      <c r="AF9" s="120" t="b">
        <v>1</v>
      </c>
      <c r="AG9" s="104"/>
      <c r="AJ9" s="698"/>
      <c r="AL9" s="696"/>
      <c r="AN9" s="104"/>
    </row>
    <row r="10" spans="1:40" x14ac:dyDescent="0.2">
      <c r="A10" s="104"/>
      <c r="B10" s="104"/>
      <c r="C10" s="104"/>
      <c r="D10" s="104"/>
      <c r="E10" s="105"/>
      <c r="F10" s="105"/>
      <c r="G10" s="108"/>
      <c r="H10" s="108"/>
      <c r="I10" s="104"/>
      <c r="J10" s="104"/>
      <c r="K10" s="104"/>
      <c r="L10" s="677"/>
      <c r="M10" s="104"/>
      <c r="N10" s="104"/>
      <c r="O10" s="16"/>
      <c r="P10" s="104"/>
      <c r="Q10" s="104"/>
      <c r="R10" s="104"/>
      <c r="S10" s="104"/>
      <c r="T10" s="104"/>
      <c r="U10" s="104"/>
      <c r="V10" s="104"/>
      <c r="W10" s="104"/>
      <c r="X10" s="104"/>
      <c r="Y10" s="677"/>
      <c r="Z10" s="677"/>
      <c r="AC10" s="132" t="s">
        <v>213</v>
      </c>
      <c r="AD10" s="104"/>
      <c r="AE10" s="112" t="s">
        <v>212</v>
      </c>
      <c r="AF10" s="120" t="b">
        <v>1</v>
      </c>
      <c r="AG10" s="104"/>
      <c r="AH10" s="104"/>
      <c r="AJ10" s="698"/>
      <c r="AL10" s="696"/>
      <c r="AN10" s="104"/>
    </row>
    <row r="11" spans="1:40" x14ac:dyDescent="0.2">
      <c r="A11" s="104"/>
      <c r="B11" s="104"/>
      <c r="C11" s="104"/>
      <c r="D11" s="104"/>
      <c r="E11" s="105"/>
      <c r="F11" s="105"/>
      <c r="G11" s="108"/>
      <c r="H11" s="133"/>
      <c r="I11" s="104"/>
      <c r="J11" s="104"/>
      <c r="K11" s="104"/>
      <c r="L11" s="677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677"/>
      <c r="Z11" s="677"/>
      <c r="AC11" s="134" t="str">
        <f ca="1">IF(COUNTIF($AC$15:OFFSET($AC$266,-1,0),"DESCRIÇÃO")+COUNTIF($AC$15:OFFSET($AC$266,-1,0),"UNIDADE")+COUNTIF($AC$15:OFFSET($AC$266,-1,0),"SEM VALOR")&gt;0,"NÃO OK","OK")</f>
        <v>OK</v>
      </c>
      <c r="AD11" s="104"/>
      <c r="AE11" s="112" t="s">
        <v>214</v>
      </c>
      <c r="AF11" s="120" t="b">
        <v>1</v>
      </c>
      <c r="AG11" s="104"/>
      <c r="AH11" s="104"/>
      <c r="AJ11" s="698"/>
      <c r="AL11" s="696"/>
      <c r="AN11" s="104"/>
    </row>
    <row r="12" spans="1:40" x14ac:dyDescent="0.2">
      <c r="A12" s="104"/>
      <c r="B12" s="104"/>
      <c r="C12" s="104"/>
      <c r="D12" s="104"/>
      <c r="E12" s="105"/>
      <c r="F12" s="105"/>
      <c r="G12" s="108"/>
      <c r="H12" s="108"/>
      <c r="I12" s="104"/>
      <c r="J12" s="104"/>
      <c r="K12" s="104"/>
      <c r="L12" s="677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677"/>
      <c r="Z12" s="677"/>
      <c r="AA12" s="697" t="s">
        <v>215</v>
      </c>
      <c r="AB12" s="697"/>
      <c r="AC12" s="104"/>
      <c r="AD12" s="104"/>
      <c r="AE12" s="104"/>
      <c r="AF12" s="104"/>
      <c r="AG12" s="104"/>
      <c r="AH12" s="104"/>
      <c r="AJ12" s="135" t="s">
        <v>216</v>
      </c>
      <c r="AL12" s="599" t="s">
        <v>216</v>
      </c>
      <c r="AN12" s="104"/>
    </row>
    <row r="13" spans="1:40" ht="35.1" customHeight="1" x14ac:dyDescent="0.2">
      <c r="A13" s="136" t="s">
        <v>217</v>
      </c>
      <c r="B13" s="136" t="s">
        <v>218</v>
      </c>
      <c r="C13" s="136" t="s">
        <v>219</v>
      </c>
      <c r="D13" s="136" t="s">
        <v>220</v>
      </c>
      <c r="E13" s="136" t="s">
        <v>221</v>
      </c>
      <c r="F13" s="136" t="s">
        <v>222</v>
      </c>
      <c r="G13" s="136" t="s">
        <v>223</v>
      </c>
      <c r="H13" s="136" t="s">
        <v>224</v>
      </c>
      <c r="I13" s="136" t="s">
        <v>225</v>
      </c>
      <c r="J13" s="136" t="s">
        <v>226</v>
      </c>
      <c r="K13" s="136" t="s">
        <v>227</v>
      </c>
      <c r="L13" s="135" t="s">
        <v>216</v>
      </c>
      <c r="M13" s="136" t="s">
        <v>228</v>
      </c>
      <c r="N13" s="137" t="s">
        <v>229</v>
      </c>
      <c r="O13" s="136" t="s">
        <v>230</v>
      </c>
      <c r="P13" s="136" t="s">
        <v>231</v>
      </c>
      <c r="Q13" s="136" t="s">
        <v>232</v>
      </c>
      <c r="R13" s="136" t="s">
        <v>233</v>
      </c>
      <c r="S13" s="138" t="s">
        <v>234</v>
      </c>
      <c r="T13" s="136" t="s">
        <v>202</v>
      </c>
      <c r="U13" s="136" t="str">
        <f>IF(TIPOORCAMENTO="Licitado","","Custo Unitário (sem BDI) (R$)")</f>
        <v>Custo Unitário (sem BDI) (R$)</v>
      </c>
      <c r="V13" s="136" t="str">
        <f>IF(TIPOORCAMENTO="Licitado","","BDI(%)")</f>
        <v>BDI(%)</v>
      </c>
      <c r="W13" s="136" t="s">
        <v>235</v>
      </c>
      <c r="X13" s="136" t="s">
        <v>236</v>
      </c>
      <c r="Y13" s="135" t="s">
        <v>216</v>
      </c>
      <c r="Z13" s="135" t="s">
        <v>216</v>
      </c>
      <c r="AA13" s="139" t="s">
        <v>237</v>
      </c>
      <c r="AB13" s="140" t="s">
        <v>238</v>
      </c>
      <c r="AC13" s="136" t="s">
        <v>239</v>
      </c>
      <c r="AD13" s="141" t="s">
        <v>240</v>
      </c>
      <c r="AE13" s="141" t="s">
        <v>241</v>
      </c>
      <c r="AF13" s="141" t="s">
        <v>242</v>
      </c>
      <c r="AG13" s="201" t="s">
        <v>415</v>
      </c>
      <c r="AH13" s="548" t="str">
        <f>IF(TIPOORCAMENTO="LICITADO","Valor BDI Edital","Valor BDI")</f>
        <v>Valor BDI</v>
      </c>
      <c r="AJ13" s="383" t="s">
        <v>202</v>
      </c>
      <c r="AL13" s="383" t="s">
        <v>235</v>
      </c>
      <c r="AM13" s="201" t="s">
        <v>243</v>
      </c>
      <c r="AN13" s="202" t="s">
        <v>411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3" t="str">
        <f ca="1">IF(OR($X14&gt;0,$C14=1,$C14=2,$C14=3,$C14=4),"F","")</f>
        <v/>
      </c>
      <c r="M14" s="144" t="s">
        <v>198</v>
      </c>
      <c r="N14" s="145" t="str">
        <f ca="1">CHOOSE(1+LOG(1+2*(C14=1)+4*(C14=2)+8*(C14=3)+16*(C14=4)+32*(C14="S"),2),"","Meta","Nível 2","Nível 3","Nível 4","Serviço")</f>
        <v>Serviço</v>
      </c>
      <c r="O14" s="146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7" t="s">
        <v>246</v>
      </c>
      <c r="Q14" s="148"/>
      <c r="R14" s="149" t="str">
        <f ca="1">IF($C14="S",REFERENCIA.Descricao,"(digite a descrição aqui)")</f>
        <v>(abra o arquivo 'Referência 05-2023.xls)</v>
      </c>
      <c r="S14" s="150" t="str">
        <f ca="1">REFERENCIA.Unidade</f>
        <v>-</v>
      </c>
      <c r="T14" s="151">
        <f ca="1">OFFSET(CÁLCULO!H$15,ROW($T14)-ROW(T$15),0)</f>
        <v>0</v>
      </c>
      <c r="U14" s="152"/>
      <c r="V14" s="153" t="s">
        <v>155</v>
      </c>
      <c r="W14" s="151">
        <f ca="1">IF($C14="S",ROUND(IF(TIPOORCAMENTO="Proposto",ORÇAMENTO.CustoUnitario*(1+$AH14),ORÇAMENTO.PrecoUnitarioLicitado),15-13*$AF$10),0)</f>
        <v>0</v>
      </c>
      <c r="X14" s="154">
        <f ca="1">IF($C14="S",VTOTAL1,IF($C14=0,0,ROUND(SomaAgrup,15-13*$AF$11)))</f>
        <v>0</v>
      </c>
      <c r="Y14" s="155" t="s">
        <v>244</v>
      </c>
      <c r="Z14" t="str">
        <f ca="1">IF(AND($C14="S",$X14&gt;0),IF(ISBLANK($Y14),"RA",LEFT($Y14,2)),"")</f>
        <v/>
      </c>
      <c r="AA14" s="156">
        <f ca="1">IF($C14="S",IF($Z14="CP",$X14,IF($Z14="RA",(($X14)*QCI!$AA$3),0)),SomaAgrup)</f>
        <v>0</v>
      </c>
      <c r="AB14" s="157">
        <f ca="1">IF($C14="S",IF($Z14="OU",ROUND($X14,2),0),SomaAgrup)</f>
        <v>0</v>
      </c>
      <c r="AC14" s="158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4" t="str">
        <f ca="1">IF(C14&lt;=CRONO.NivelExibicao,MAX($AD$15:OFFSET(AD14,-1,0))+IF($C14&lt;&gt;1,1,MAX(1,COUNTIF(QCI!$A$13:$A$24,OFFSET($E14,-1,0)))),"")</f>
        <v/>
      </c>
      <c r="AE14" s="114" t="b">
        <f ca="1">IF(AND($C14="S",ORÇAMENTO.CodBarra&lt;&gt;""),IF(ORÇAMENTO.Fonte="",ORÇAMENTO.CodBarra,CONCATENATE(ORÇAMENTO.Fonte," ",ORÇAMENTO.CodBarra)))</f>
        <v>0</v>
      </c>
      <c r="AF14" s="159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(abra o arquivo 'Referência 05-2023.xls)</v>
      </c>
      <c r="AG14" s="549">
        <f ca="1">ROUND(IF(DESONERACAO="sim",REFERENCIA.Desonerado,REFERENCIA.NaoDesonerado),2)</f>
        <v>0</v>
      </c>
      <c r="AH14" s="550">
        <f ca="1">ROUND(IF(ISNUMBER(ORÇAMENTO.OpcaoBDI),ORÇAMENTO.OpcaoBDI,IF(LEFT(ORÇAMENTO.OpcaoBDI,3)="BDI",HLOOKUP(ORÇAMENTO.OpcaoBDI,$F$4:$H$5,2,FALSE),0)),15-11*$AF$9)</f>
        <v>0.25</v>
      </c>
      <c r="AJ14" s="552"/>
      <c r="AL14" s="573"/>
      <c r="AM14" s="430">
        <f t="shared" ref="AM14:AM79" ca="1" si="0">$X14</f>
        <v>0</v>
      </c>
      <c r="AN14" s="616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3" t="s">
        <v>245</v>
      </c>
      <c r="M15" s="160" t="str">
        <f>IF(TIPOORCAMENTO="LICITADO","CTEF","LOTE")</f>
        <v>LOTE</v>
      </c>
      <c r="N15" s="160" t="str">
        <f>IF(TIPOORCAMENTO="LICITADO","CTEF","LOTE")</f>
        <v>LOTE</v>
      </c>
      <c r="O15" s="702" t="str">
        <f>Import.DescLote</f>
        <v>REFORMA DO PAÇO MUNICIPAL</v>
      </c>
      <c r="P15" s="702"/>
      <c r="Q15" s="702"/>
      <c r="R15" s="702"/>
      <c r="S15" s="161"/>
      <c r="T15" s="162"/>
      <c r="U15" s="162"/>
      <c r="V15" s="163"/>
      <c r="W15" s="162"/>
      <c r="X15" s="164">
        <f ca="1">SUMIF(OFFSET($C15,1,0,ROW(X266)-ROW(X15)-1),"S",OFFSET(X15,1,0,ROW(X266)-ROW(X15)-1))</f>
        <v>192352.06999999995</v>
      </c>
      <c r="Y15" s="114"/>
      <c r="Z15" t="str">
        <f ca="1">IF(AND($C15="S",$X15&gt;0),LEFT($Y15,2),"")</f>
        <v/>
      </c>
      <c r="AA15" s="547">
        <f ca="1">SUMIF(OFFSET($C15,1,0,ROW(AA266)-ROW(AA15)-1),"S",OFFSET(AA15,1,0,ROW(AA266)-ROW(AA15)-1))</f>
        <v>192352.06999999995</v>
      </c>
      <c r="AB15" s="165">
        <f ca="1">SUMIF(OFFSET($C15,1,0,ROW(AB266)-ROW(AB15)-1),"S",OFFSET(AB15,1,0,ROW(AB266)-ROW(AB15)-1))</f>
        <v>0</v>
      </c>
      <c r="AC15" s="166"/>
      <c r="AD15" s="104"/>
      <c r="AE15" s="104"/>
      <c r="AF15" s="104"/>
      <c r="AG15" s="575"/>
      <c r="AH15" s="576"/>
      <c r="AJ15" s="551"/>
      <c r="AL15" s="574"/>
      <c r="AM15" s="617">
        <f t="shared" ca="1" si="0"/>
        <v>192352.06999999995</v>
      </c>
      <c r="AN15" s="618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3" t="str">
        <f t="shared" ref="L16:L79" ca="1" si="10">IF(OR($X16&gt;0,$C16=1,$C16=2,$C16=3,$C16=4),"F","")</f>
        <v>F</v>
      </c>
      <c r="M16" s="144" t="s">
        <v>194</v>
      </c>
      <c r="N16" s="145" t="str">
        <f t="shared" ref="N16:N79" ca="1" si="11">CHOOSE(1+LOG(1+2*(C16=1)+4*(C16=2)+8*(C16=3)+16*(C16=4)+32*(C16="S"),2),"","Meta","Nível 2","Nível 3","Nível 4","Serviço")</f>
        <v>Meta</v>
      </c>
      <c r="O16" s="146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7" t="s">
        <v>246</v>
      </c>
      <c r="Q16" s="148"/>
      <c r="R16" s="149" t="str">
        <f ca="1">IF($C16="S",REFERENCIA.Descricao,"(REFORMA DO PREDIO PREFEITURA MUNICIPAL")</f>
        <v>(REFORMA DO PREDIO PREFEITURA MUNICIPAL</v>
      </c>
      <c r="S16" s="150" t="str">
        <f t="shared" ref="S16:S79" ca="1" si="13">REFERENCIA.Unidade</f>
        <v>-</v>
      </c>
      <c r="T16" s="151">
        <f ca="1">OFFSET(CÁLCULO!H$15,ROW($T16)-ROW(T$15),0)</f>
        <v>0</v>
      </c>
      <c r="U16" s="152"/>
      <c r="V16" s="153" t="s">
        <v>155</v>
      </c>
      <c r="W16" s="151">
        <f t="shared" ref="W16:W79" ca="1" si="14">IF($C16="S",ROUND(IF(TIPOORCAMENTO="Proposto",ORÇAMENTO.CustoUnitario*(1+$AH16),ORÇAMENTO.PrecoUnitarioLicitado),15-13*$AF$10),0)</f>
        <v>0</v>
      </c>
      <c r="X16" s="154">
        <f t="shared" ref="X16:X79" ca="1" si="15">IF($C16="S",VTOTAL1,IF($C16=0,0,ROUND(SomaAgrup,15-13*$AF$11)))</f>
        <v>192352.07</v>
      </c>
      <c r="Y16" s="155" t="s">
        <v>244</v>
      </c>
      <c r="Z16" t="str">
        <f t="shared" ref="Z16:Z79" ca="1" si="16">IF(AND($C16="S",$X16&gt;0),IF(ISBLANK($Y16),"RA",LEFT($Y16,2)),"")</f>
        <v/>
      </c>
      <c r="AA16" s="156">
        <f ca="1">IF($C16="S",IF($Z16="CP",$X16,IF($Z16="RA",(($X16)*QCI!$AA$3),0)),SomaAgrup)</f>
        <v>192352.06999999995</v>
      </c>
      <c r="AB16" s="157">
        <f t="shared" ref="AB16:AB79" ca="1" si="17">IF($C16="S",IF($Z16="OU",ROUND($X16,2),0),SomaAgrup)</f>
        <v>0</v>
      </c>
      <c r="AC16" s="158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4">
        <f ca="1">IF(C16&lt;=CRONO.NivelExibicao,MAX($AD$15:OFFSET(AD16,-1,0))+IF($C16&lt;&gt;1,1,MAX(1,COUNTIF(QCI!$A$13:$A$24,OFFSET($E16,-1,0)))),"")</f>
        <v>1</v>
      </c>
      <c r="AE16" s="114" t="b">
        <f t="shared" ref="AE16:AE79" ca="1" si="19">IF(AND($C16="S",ORÇAMENTO.CodBarra&lt;&gt;""),IF(ORÇAMENTO.Fonte="",ORÇAMENTO.CodBarra,CONCATENATE(ORÇAMENTO.Fonte," ",ORÇAMENTO.CodBarra)))</f>
        <v>0</v>
      </c>
      <c r="AF16" s="159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(abra o arquivo 'Referência 05-2023.xls)</v>
      </c>
      <c r="AG16" s="549">
        <f t="shared" ref="AG16:AG79" ca="1" si="21">ROUND(IF(DESONERACAO="sim",REFERENCIA.Desonerado,REFERENCIA.NaoDesonerado),2)</f>
        <v>0</v>
      </c>
      <c r="AH16" s="550">
        <f t="shared" ref="AH16:AH79" ca="1" si="22">ROUND(IF(ISNUMBER(ORÇAMENTO.OpcaoBDI),ORÇAMENTO.OpcaoBDI,IF(LEFT(ORÇAMENTO.OpcaoBDI,3)="BDI",HLOOKUP(ORÇAMENTO.OpcaoBDI,$F$4:$H$5,2,FALSE),0)),15-11*$AF$9)</f>
        <v>0.25</v>
      </c>
      <c r="AJ16" s="552"/>
      <c r="AL16" s="573"/>
      <c r="AM16" s="430">
        <f t="shared" ca="1" si="0"/>
        <v>192352.07</v>
      </c>
      <c r="AN16" s="616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17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>
        <f ca="1">IF(OR($C17="S",$C17=0),0,MATCH(OFFSET($D17,0,$C17)+IF($C17&lt;&gt;1,1,COUNTIF(QCI!$A$13:$A$24,ORÇAMENTO!E17)),OFFSET($D17,1,$C17,ROW($C$266)-ROW($C17)),0))</f>
        <v>17</v>
      </c>
      <c r="L17" s="143" t="str">
        <f t="shared" ca="1" si="10"/>
        <v>F</v>
      </c>
      <c r="M17" s="144" t="s">
        <v>195</v>
      </c>
      <c r="N17" s="145" t="str">
        <f t="shared" ca="1" si="11"/>
        <v>Nível 2</v>
      </c>
      <c r="O17" s="146" t="str">
        <f t="shared" ca="1" si="12"/>
        <v>1.1.</v>
      </c>
      <c r="P17" s="147" t="s">
        <v>246</v>
      </c>
      <c r="Q17" s="148"/>
      <c r="R17" s="149" t="s">
        <v>443</v>
      </c>
      <c r="S17" s="150" t="str">
        <f t="shared" ca="1" si="13"/>
        <v>-</v>
      </c>
      <c r="T17" s="151">
        <f ca="1">OFFSET(CÁLCULO!H$15,ROW($T17)-ROW(T$15),0)</f>
        <v>0</v>
      </c>
      <c r="U17" s="152"/>
      <c r="V17" s="153" t="s">
        <v>155</v>
      </c>
      <c r="W17" s="151">
        <f t="shared" ca="1" si="14"/>
        <v>0</v>
      </c>
      <c r="X17" s="154">
        <f t="shared" ca="1" si="15"/>
        <v>9562.61</v>
      </c>
      <c r="Y17" s="155" t="s">
        <v>244</v>
      </c>
      <c r="Z17" t="str">
        <f t="shared" ca="1" si="16"/>
        <v/>
      </c>
      <c r="AA17" s="156">
        <f ca="1">IF($C17="S",IF($Z17="CP",$X17,IF($Z17="RA",(($X17)*QCI!$AA$3),0)),SomaAgrup)</f>
        <v>9562.61</v>
      </c>
      <c r="AB17" s="157">
        <f t="shared" ca="1" si="17"/>
        <v>0</v>
      </c>
      <c r="AC17" s="158" t="str">
        <f t="shared" ca="1" si="18"/>
        <v/>
      </c>
      <c r="AD17" s="104">
        <f ca="1">IF(C17&lt;=CRONO.NivelExibicao,MAX($AD$15:OFFSET(AD17,-1,0))+IF($C17&lt;&gt;1,1,MAX(1,COUNTIF(QCI!$A$13:$A$24,OFFSET($E17,-1,0)))),"")</f>
        <v>2</v>
      </c>
      <c r="AE17" s="114" t="b">
        <f t="shared" ca="1" si="19"/>
        <v>0</v>
      </c>
      <c r="AF17" s="159" t="str">
        <f t="shared" ca="1" si="20"/>
        <v>(abra o arquivo 'Referência 05-2023.xls)</v>
      </c>
      <c r="AG17" s="549">
        <f t="shared" ca="1" si="21"/>
        <v>0</v>
      </c>
      <c r="AH17" s="550">
        <f t="shared" ca="1" si="22"/>
        <v>0.25</v>
      </c>
      <c r="AJ17" s="552"/>
      <c r="AL17" s="573"/>
      <c r="AM17" s="430">
        <f t="shared" ca="1" si="0"/>
        <v>9562.61</v>
      </c>
      <c r="AN17" s="616">
        <f t="shared" ca="1" si="23"/>
        <v>0</v>
      </c>
    </row>
    <row r="18" spans="1:40" hidden="1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0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3" t="str">
        <f t="shared" ca="1" si="10"/>
        <v/>
      </c>
      <c r="M18" s="144" t="s">
        <v>198</v>
      </c>
      <c r="N18" s="145" t="str">
        <f t="shared" ca="1" si="11"/>
        <v>Serviço</v>
      </c>
      <c r="O18" s="146" t="str">
        <f t="shared" ca="1" si="12"/>
        <v>-</v>
      </c>
      <c r="P18" s="147" t="s">
        <v>444</v>
      </c>
      <c r="Q18" s="148"/>
      <c r="R18" s="149" t="str">
        <f t="shared" ref="R18:R79" ca="1" si="24">IF($C18="S",REFERENCIA.Descricao,"(digite a descrição aqui)")</f>
        <v>(abra o arquivo 'Referência 05-2023.xls)</v>
      </c>
      <c r="S18" s="150" t="str">
        <f t="shared" ca="1" si="13"/>
        <v>-</v>
      </c>
      <c r="T18" s="151">
        <f ca="1">OFFSET(CÁLCULO!H$15,ROW($T18)-ROW(T$15),0)</f>
        <v>0</v>
      </c>
      <c r="U18" s="152"/>
      <c r="V18" s="153" t="s">
        <v>155</v>
      </c>
      <c r="W18" s="151">
        <f t="shared" ca="1" si="14"/>
        <v>0</v>
      </c>
      <c r="X18" s="154">
        <f t="shared" ca="1" si="15"/>
        <v>0</v>
      </c>
      <c r="Y18" s="155" t="s">
        <v>244</v>
      </c>
      <c r="Z18" t="str">
        <f t="shared" ca="1" si="16"/>
        <v/>
      </c>
      <c r="AA18" s="156">
        <f ca="1">IF($C18="S",IF($Z18="CP",$X18,IF($Z18="RA",(($X18)*QCI!$AA$3),0)),SomaAgrup)</f>
        <v>0</v>
      </c>
      <c r="AB18" s="157">
        <f t="shared" ca="1" si="17"/>
        <v>0</v>
      </c>
      <c r="AC18" s="158" t="str">
        <f t="shared" ca="1" si="18"/>
        <v/>
      </c>
      <c r="AD18" s="104" t="str">
        <f ca="1">IF(C18&lt;=CRONO.NivelExibicao,MAX($AD$15:OFFSET(AD18,-1,0))+IF($C18&lt;&gt;1,1,MAX(1,COUNTIF(QCI!$A$13:$A$24,OFFSET($E18,-1,0)))),"")</f>
        <v/>
      </c>
      <c r="AE18" s="114" t="b">
        <f t="shared" ca="1" si="19"/>
        <v>0</v>
      </c>
      <c r="AF18" s="159" t="str">
        <f t="shared" ca="1" si="20"/>
        <v>(abra o arquivo 'Referência 05-2023.xls)</v>
      </c>
      <c r="AG18" s="549">
        <f t="shared" ca="1" si="21"/>
        <v>0</v>
      </c>
      <c r="AH18" s="550">
        <f t="shared" ca="1" si="22"/>
        <v>0.25</v>
      </c>
      <c r="AJ18" s="552"/>
      <c r="AL18" s="573"/>
      <c r="AM18" s="430">
        <f t="shared" ca="1" si="0"/>
        <v>0</v>
      </c>
      <c r="AN18" s="616">
        <f t="shared" ca="1" si="23"/>
        <v>0</v>
      </c>
    </row>
    <row r="19" spans="1:40" hidden="1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0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3" t="str">
        <f t="shared" ca="1" si="10"/>
        <v/>
      </c>
      <c r="M19" s="144" t="s">
        <v>198</v>
      </c>
      <c r="N19" s="145" t="str">
        <f t="shared" ca="1" si="11"/>
        <v>Serviço</v>
      </c>
      <c r="O19" s="146" t="str">
        <f t="shared" ca="1" si="12"/>
        <v>-</v>
      </c>
      <c r="P19" s="147" t="s">
        <v>246</v>
      </c>
      <c r="Q19" s="148"/>
      <c r="R19" s="149" t="str">
        <f t="shared" ca="1" si="24"/>
        <v>(abra o arquivo 'Referência 05-2023.xls)</v>
      </c>
      <c r="S19" s="150" t="str">
        <f t="shared" ca="1" si="13"/>
        <v>-</v>
      </c>
      <c r="T19" s="151">
        <f ca="1">OFFSET(CÁLCULO!H$15,ROW($T19)-ROW(T$15),0)</f>
        <v>0</v>
      </c>
      <c r="U19" s="152"/>
      <c r="V19" s="153" t="s">
        <v>155</v>
      </c>
      <c r="W19" s="151">
        <f t="shared" ca="1" si="14"/>
        <v>0</v>
      </c>
      <c r="X19" s="154">
        <f t="shared" ca="1" si="15"/>
        <v>0</v>
      </c>
      <c r="Y19" s="155" t="s">
        <v>244</v>
      </c>
      <c r="Z19" t="str">
        <f t="shared" ca="1" si="16"/>
        <v/>
      </c>
      <c r="AA19" s="156">
        <f ca="1">IF($C19="S",IF($Z19="CP",$X19,IF($Z19="RA",(($X19)*QCI!$AA$3),0)),SomaAgrup)</f>
        <v>0</v>
      </c>
      <c r="AB19" s="157">
        <f t="shared" ca="1" si="17"/>
        <v>0</v>
      </c>
      <c r="AC19" s="158" t="str">
        <f t="shared" ca="1" si="18"/>
        <v/>
      </c>
      <c r="AD19" s="104" t="str">
        <f ca="1">IF(C19&lt;=CRONO.NivelExibicao,MAX($AD$15:OFFSET(AD19,-1,0))+IF($C19&lt;&gt;1,1,MAX(1,COUNTIF(QCI!$A$13:$A$24,OFFSET($E19,-1,0)))),"")</f>
        <v/>
      </c>
      <c r="AE19" s="114" t="b">
        <f t="shared" ca="1" si="19"/>
        <v>0</v>
      </c>
      <c r="AF19" s="159" t="str">
        <f t="shared" ca="1" si="20"/>
        <v>(abra o arquivo 'Referência 05-2023.xls)</v>
      </c>
      <c r="AG19" s="549">
        <f t="shared" ca="1" si="21"/>
        <v>0</v>
      </c>
      <c r="AH19" s="550">
        <f t="shared" ca="1" si="22"/>
        <v>0.25</v>
      </c>
      <c r="AJ19" s="552"/>
      <c r="AL19" s="573"/>
      <c r="AM19" s="430">
        <f t="shared" ca="1" si="0"/>
        <v>0</v>
      </c>
      <c r="AN19" s="616">
        <f t="shared" ca="1" si="23"/>
        <v>0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0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3" t="str">
        <f t="shared" ca="1" si="10"/>
        <v/>
      </c>
      <c r="M20" s="144" t="s">
        <v>198</v>
      </c>
      <c r="N20" s="145" t="str">
        <f t="shared" ca="1" si="11"/>
        <v>Serviço</v>
      </c>
      <c r="O20" s="146" t="str">
        <f t="shared" ca="1" si="12"/>
        <v>-</v>
      </c>
      <c r="P20" s="147" t="s">
        <v>246</v>
      </c>
      <c r="Q20" s="148"/>
      <c r="R20" s="149" t="str">
        <f t="shared" ca="1" si="24"/>
        <v>(abra o arquivo 'Referência 05-2023.xls)</v>
      </c>
      <c r="S20" s="150" t="str">
        <f t="shared" ca="1" si="13"/>
        <v>-</v>
      </c>
      <c r="T20" s="151">
        <f ca="1">OFFSET(CÁLCULO!H$15,ROW($T20)-ROW(T$15),0)</f>
        <v>0</v>
      </c>
      <c r="U20" s="152"/>
      <c r="V20" s="153" t="s">
        <v>155</v>
      </c>
      <c r="W20" s="151">
        <f t="shared" ca="1" si="14"/>
        <v>0</v>
      </c>
      <c r="X20" s="154">
        <f t="shared" ca="1" si="15"/>
        <v>0</v>
      </c>
      <c r="Y20" s="155" t="s">
        <v>244</v>
      </c>
      <c r="Z20" t="str">
        <f t="shared" ca="1" si="16"/>
        <v/>
      </c>
      <c r="AA20" s="156">
        <f ca="1">IF($C20="S",IF($Z20="CP",$X20,IF($Z20="RA",(($X20)*QCI!$AA$3),0)),SomaAgrup)</f>
        <v>0</v>
      </c>
      <c r="AB20" s="157">
        <f t="shared" ca="1" si="17"/>
        <v>0</v>
      </c>
      <c r="AC20" s="158" t="str">
        <f t="shared" ca="1" si="18"/>
        <v/>
      </c>
      <c r="AD20" s="104" t="str">
        <f ca="1">IF(C20&lt;=CRONO.NivelExibicao,MAX($AD$15:OFFSET(AD20,-1,0))+IF($C20&lt;&gt;1,1,MAX(1,COUNTIF(QCI!$A$13:$A$24,OFFSET($E20,-1,0)))),"")</f>
        <v/>
      </c>
      <c r="AE20" s="114" t="b">
        <f t="shared" ca="1" si="19"/>
        <v>0</v>
      </c>
      <c r="AF20" s="159" t="str">
        <f t="shared" ca="1" si="20"/>
        <v>(abra o arquivo 'Referência 05-2023.xls)</v>
      </c>
      <c r="AG20" s="549">
        <f t="shared" ca="1" si="21"/>
        <v>0</v>
      </c>
      <c r="AH20" s="550">
        <f t="shared" ca="1" si="22"/>
        <v>0.25</v>
      </c>
      <c r="AJ20" s="552"/>
      <c r="AL20" s="573"/>
      <c r="AM20" s="430">
        <f t="shared" ca="1" si="0"/>
        <v>0</v>
      </c>
      <c r="AN20" s="616">
        <f t="shared" ca="1" si="23"/>
        <v>0</v>
      </c>
    </row>
    <row r="21" spans="1:40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1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3" t="str">
        <f t="shared" ca="1" si="10"/>
        <v>F</v>
      </c>
      <c r="M21" s="144" t="s">
        <v>198</v>
      </c>
      <c r="N21" s="145" t="str">
        <f t="shared" ca="1" si="11"/>
        <v>Serviço</v>
      </c>
      <c r="O21" s="146" t="str">
        <f t="shared" ca="1" si="12"/>
        <v>1.1.1.</v>
      </c>
      <c r="P21" s="147" t="s">
        <v>246</v>
      </c>
      <c r="Q21" s="148" t="s">
        <v>453</v>
      </c>
      <c r="R21" s="149" t="str">
        <f t="shared" ca="1" si="24"/>
        <v>(abra o arquivo 'Referência 05-2023.xls)</v>
      </c>
      <c r="S21" s="150" t="str">
        <f t="shared" ca="1" si="13"/>
        <v>-</v>
      </c>
      <c r="T21" s="151">
        <f ca="1">OFFSET(CÁLCULO!H$15,ROW($T21)-ROW(T$15),0)</f>
        <v>195</v>
      </c>
      <c r="U21" s="152">
        <v>38.21</v>
      </c>
      <c r="V21" s="153" t="s">
        <v>155</v>
      </c>
      <c r="W21" s="151">
        <f t="shared" ca="1" si="14"/>
        <v>47.76</v>
      </c>
      <c r="X21" s="154">
        <f t="shared" ca="1" si="15"/>
        <v>9313.2000000000007</v>
      </c>
      <c r="Y21" s="155" t="s">
        <v>244</v>
      </c>
      <c r="Z21" t="str">
        <f t="shared" ca="1" si="16"/>
        <v>RA</v>
      </c>
      <c r="AA21" s="156">
        <f ca="1">IF($C21="S",IF($Z21="CP",$X21,IF($Z21="RA",(($X21)*QCI!$AA$3),0)),SomaAgrup)</f>
        <v>9313.2000000000007</v>
      </c>
      <c r="AB21" s="157">
        <f t="shared" ca="1" si="17"/>
        <v>0</v>
      </c>
      <c r="AC21" s="158" t="str">
        <f t="shared" ca="1" si="18"/>
        <v/>
      </c>
      <c r="AD21" s="104" t="str">
        <f ca="1">IF(C21&lt;=CRONO.NivelExibicao,MAX($AD$15:OFFSET(AD21,-1,0))+IF($C21&lt;&gt;1,1,MAX(1,COUNTIF(QCI!$A$13:$A$24,OFFSET($E21,-1,0)))),"")</f>
        <v/>
      </c>
      <c r="AE21" s="114" t="str">
        <f t="shared" ca="1" si="19"/>
        <v>SINAPI 97645</v>
      </c>
      <c r="AF21" s="159" t="str">
        <f t="shared" ca="1" si="20"/>
        <v>(abra o arquivo 'Referência 05-2023.xls)</v>
      </c>
      <c r="AG21" s="549">
        <f t="shared" ca="1" si="21"/>
        <v>0</v>
      </c>
      <c r="AH21" s="550">
        <f t="shared" ca="1" si="22"/>
        <v>0.25</v>
      </c>
      <c r="AJ21" s="552">
        <v>195</v>
      </c>
      <c r="AL21" s="573"/>
      <c r="AM21" s="430">
        <f t="shared" ca="1" si="0"/>
        <v>9313.2000000000007</v>
      </c>
      <c r="AN21" s="616">
        <f t="shared" ca="1" si="23"/>
        <v>47.76</v>
      </c>
    </row>
    <row r="22" spans="1:40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2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3" t="str">
        <f t="shared" ca="1" si="10"/>
        <v>F</v>
      </c>
      <c r="M22" s="144" t="s">
        <v>198</v>
      </c>
      <c r="N22" s="145" t="str">
        <f t="shared" ca="1" si="11"/>
        <v>Serviço</v>
      </c>
      <c r="O22" s="146" t="str">
        <f t="shared" ca="1" si="12"/>
        <v>1.1.2.</v>
      </c>
      <c r="P22" s="147" t="s">
        <v>246</v>
      </c>
      <c r="Q22" s="148" t="s">
        <v>454</v>
      </c>
      <c r="R22" s="149" t="str">
        <f t="shared" ca="1" si="24"/>
        <v>(abra o arquivo 'Referência 05-2023.xls)</v>
      </c>
      <c r="S22" s="150" t="str">
        <f t="shared" ca="1" si="13"/>
        <v>-</v>
      </c>
      <c r="T22" s="151">
        <f ca="1">OFFSET(CÁLCULO!H$15,ROW($T22)-ROW(T$15),0)</f>
        <v>16.100000000000001</v>
      </c>
      <c r="U22" s="152">
        <v>10.76</v>
      </c>
      <c r="V22" s="153" t="s">
        <v>155</v>
      </c>
      <c r="W22" s="151">
        <f t="shared" ca="1" si="14"/>
        <v>13.45</v>
      </c>
      <c r="X22" s="154">
        <f t="shared" ca="1" si="15"/>
        <v>216.55</v>
      </c>
      <c r="Y22" s="155" t="s">
        <v>244</v>
      </c>
      <c r="Z22" t="str">
        <f t="shared" ca="1" si="16"/>
        <v>RA</v>
      </c>
      <c r="AA22" s="156">
        <f ca="1">IF($C22="S",IF($Z22="CP",$X22,IF($Z22="RA",(($X22)*QCI!$AA$3),0)),SomaAgrup)</f>
        <v>216.55</v>
      </c>
      <c r="AB22" s="157">
        <f t="shared" ca="1" si="17"/>
        <v>0</v>
      </c>
      <c r="AC22" s="158" t="str">
        <f t="shared" ca="1" si="18"/>
        <v/>
      </c>
      <c r="AD22" s="104" t="str">
        <f ca="1">IF(C22&lt;=CRONO.NivelExibicao,MAX($AD$15:OFFSET(AD22,-1,0))+IF($C22&lt;&gt;1,1,MAX(1,COUNTIF(QCI!$A$13:$A$24,OFFSET($E22,-1,0)))),"")</f>
        <v/>
      </c>
      <c r="AE22" s="114" t="str">
        <f t="shared" ca="1" si="19"/>
        <v>SINAPI 97644</v>
      </c>
      <c r="AF22" s="159" t="str">
        <f t="shared" ca="1" si="20"/>
        <v>(abra o arquivo 'Referência 05-2023.xls)</v>
      </c>
      <c r="AG22" s="549">
        <f t="shared" ca="1" si="21"/>
        <v>0</v>
      </c>
      <c r="AH22" s="550">
        <f t="shared" ca="1" si="22"/>
        <v>0.25</v>
      </c>
      <c r="AJ22" s="552">
        <v>16.100000000000001</v>
      </c>
      <c r="AL22" s="573"/>
      <c r="AM22" s="430">
        <f t="shared" ca="1" si="0"/>
        <v>216.55</v>
      </c>
      <c r="AN22" s="616">
        <f t="shared" ca="1" si="23"/>
        <v>13.45</v>
      </c>
    </row>
    <row r="23" spans="1:40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3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3" t="str">
        <f t="shared" ca="1" si="10"/>
        <v>F</v>
      </c>
      <c r="M23" s="144" t="s">
        <v>198</v>
      </c>
      <c r="N23" s="145" t="str">
        <f t="shared" ca="1" si="11"/>
        <v>Serviço</v>
      </c>
      <c r="O23" s="146" t="str">
        <f t="shared" ca="1" si="12"/>
        <v>1.1.3.</v>
      </c>
      <c r="P23" s="147" t="s">
        <v>246</v>
      </c>
      <c r="Q23" s="148" t="s">
        <v>475</v>
      </c>
      <c r="R23" s="149" t="str">
        <f t="shared" ca="1" si="24"/>
        <v>(abra o arquivo 'Referência 05-2023.xls)</v>
      </c>
      <c r="S23" s="150" t="str">
        <f t="shared" ca="1" si="13"/>
        <v>-</v>
      </c>
      <c r="T23" s="151">
        <f ca="1">OFFSET(CÁLCULO!H$15,ROW($T23)-ROW(T$15),0)</f>
        <v>0.4</v>
      </c>
      <c r="U23" s="152">
        <v>65.709999999999994</v>
      </c>
      <c r="V23" s="153" t="s">
        <v>155</v>
      </c>
      <c r="W23" s="151">
        <f t="shared" ca="1" si="14"/>
        <v>82.14</v>
      </c>
      <c r="X23" s="154">
        <f t="shared" ca="1" si="15"/>
        <v>32.86</v>
      </c>
      <c r="Y23" s="155" t="s">
        <v>244</v>
      </c>
      <c r="Z23" t="str">
        <f t="shared" ca="1" si="16"/>
        <v>RA</v>
      </c>
      <c r="AA23" s="156">
        <f ca="1">IF($C23="S",IF($Z23="CP",$X23,IF($Z23="RA",(($X23)*QCI!$AA$3),0)),SomaAgrup)</f>
        <v>32.86</v>
      </c>
      <c r="AB23" s="157">
        <f t="shared" ca="1" si="17"/>
        <v>0</v>
      </c>
      <c r="AC23" s="158" t="str">
        <f t="shared" ca="1" si="18"/>
        <v/>
      </c>
      <c r="AD23" s="104" t="str">
        <f ca="1">IF(C23&lt;=CRONO.NivelExibicao,MAX($AD$15:OFFSET(AD23,-1,0))+IF($C23&lt;&gt;1,1,MAX(1,COUNTIF(QCI!$A$13:$A$24,OFFSET($E23,-1,0)))),"")</f>
        <v/>
      </c>
      <c r="AE23" s="114" t="str">
        <f t="shared" ca="1" si="19"/>
        <v>SINAPI 97622</v>
      </c>
      <c r="AF23" s="159" t="str">
        <f t="shared" ca="1" si="20"/>
        <v>(abra o arquivo 'Referência 05-2023.xls)</v>
      </c>
      <c r="AG23" s="549">
        <f t="shared" ca="1" si="21"/>
        <v>0</v>
      </c>
      <c r="AH23" s="550">
        <f t="shared" ca="1" si="22"/>
        <v>0.25</v>
      </c>
      <c r="AJ23" s="552">
        <v>0.4</v>
      </c>
      <c r="AL23" s="573"/>
      <c r="AM23" s="430">
        <f t="shared" ca="1" si="0"/>
        <v>32.86</v>
      </c>
      <c r="AN23" s="616">
        <f t="shared" ca="1" si="23"/>
        <v>82.14</v>
      </c>
    </row>
    <row r="24" spans="1:40" hidden="1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3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3" t="str">
        <f t="shared" ca="1" si="10"/>
        <v/>
      </c>
      <c r="M24" s="144" t="s">
        <v>198</v>
      </c>
      <c r="N24" s="145" t="str">
        <f t="shared" ca="1" si="11"/>
        <v>Serviço</v>
      </c>
      <c r="O24" s="146" t="str">
        <f t="shared" ca="1" si="12"/>
        <v>-</v>
      </c>
      <c r="P24" s="147" t="s">
        <v>246</v>
      </c>
      <c r="Q24" s="148"/>
      <c r="R24" s="149" t="str">
        <f t="shared" ca="1" si="24"/>
        <v>(abra o arquivo 'Referência 05-2023.xls)</v>
      </c>
      <c r="S24" s="150" t="str">
        <f t="shared" ca="1" si="13"/>
        <v>-</v>
      </c>
      <c r="T24" s="151">
        <f ca="1">OFFSET(CÁLCULO!H$15,ROW($T24)-ROW(T$15),0)</f>
        <v>0</v>
      </c>
      <c r="U24" s="152"/>
      <c r="V24" s="153" t="s">
        <v>155</v>
      </c>
      <c r="W24" s="151">
        <f t="shared" ca="1" si="14"/>
        <v>0</v>
      </c>
      <c r="X24" s="154">
        <f t="shared" ca="1" si="15"/>
        <v>0</v>
      </c>
      <c r="Y24" s="155" t="s">
        <v>244</v>
      </c>
      <c r="Z24" t="str">
        <f t="shared" ca="1" si="16"/>
        <v/>
      </c>
      <c r="AA24" s="156">
        <f ca="1">IF($C24="S",IF($Z24="CP",$X24,IF($Z24="RA",(($X24)*QCI!$AA$3),0)),SomaAgrup)</f>
        <v>0</v>
      </c>
      <c r="AB24" s="157">
        <f t="shared" ca="1" si="17"/>
        <v>0</v>
      </c>
      <c r="AC24" s="158" t="str">
        <f t="shared" ca="1" si="18"/>
        <v/>
      </c>
      <c r="AD24" s="104" t="str">
        <f ca="1">IF(C24&lt;=CRONO.NivelExibicao,MAX($AD$15:OFFSET(AD24,-1,0))+IF($C24&lt;&gt;1,1,MAX(1,COUNTIF(QCI!$A$13:$A$24,OFFSET($E24,-1,0)))),"")</f>
        <v/>
      </c>
      <c r="AE24" s="114" t="b">
        <f t="shared" ca="1" si="19"/>
        <v>0</v>
      </c>
      <c r="AF24" s="159" t="str">
        <f t="shared" ca="1" si="20"/>
        <v>(abra o arquivo 'Referência 05-2023.xls)</v>
      </c>
      <c r="AG24" s="549">
        <f t="shared" ca="1" si="21"/>
        <v>0</v>
      </c>
      <c r="AH24" s="550">
        <f t="shared" ca="1" si="22"/>
        <v>0.25</v>
      </c>
      <c r="AJ24" s="552"/>
      <c r="AL24" s="573"/>
      <c r="AM24" s="430">
        <f t="shared" ca="1" si="0"/>
        <v>0</v>
      </c>
      <c r="AN24" s="616">
        <f t="shared" ca="1" si="23"/>
        <v>0</v>
      </c>
    </row>
    <row r="25" spans="1:40" hidden="1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3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3" t="str">
        <f t="shared" ca="1" si="10"/>
        <v/>
      </c>
      <c r="M25" s="144" t="s">
        <v>198</v>
      </c>
      <c r="N25" s="145" t="str">
        <f t="shared" ca="1" si="11"/>
        <v>Serviço</v>
      </c>
      <c r="O25" s="146" t="str">
        <f t="shared" ca="1" si="12"/>
        <v>-</v>
      </c>
      <c r="P25" s="147" t="s">
        <v>246</v>
      </c>
      <c r="Q25" s="148"/>
      <c r="R25" s="149" t="str">
        <f t="shared" ca="1" si="24"/>
        <v>(abra o arquivo 'Referência 05-2023.xls)</v>
      </c>
      <c r="S25" s="150" t="str">
        <f t="shared" ca="1" si="13"/>
        <v>-</v>
      </c>
      <c r="T25" s="151">
        <f ca="1">OFFSET(CÁLCULO!H$15,ROW($T25)-ROW(T$15),0)</f>
        <v>0</v>
      </c>
      <c r="U25" s="152"/>
      <c r="V25" s="153" t="s">
        <v>155</v>
      </c>
      <c r="W25" s="151">
        <f t="shared" ca="1" si="14"/>
        <v>0</v>
      </c>
      <c r="X25" s="154">
        <f t="shared" ca="1" si="15"/>
        <v>0</v>
      </c>
      <c r="Y25" s="155" t="s">
        <v>244</v>
      </c>
      <c r="Z25" t="str">
        <f t="shared" ca="1" si="16"/>
        <v/>
      </c>
      <c r="AA25" s="156">
        <f ca="1">IF($C25="S",IF($Z25="CP",$X25,IF($Z25="RA",(($X25)*QCI!$AA$3),0)),SomaAgrup)</f>
        <v>0</v>
      </c>
      <c r="AB25" s="157">
        <f t="shared" ca="1" si="17"/>
        <v>0</v>
      </c>
      <c r="AC25" s="158" t="str">
        <f t="shared" ca="1" si="18"/>
        <v/>
      </c>
      <c r="AD25" s="104" t="str">
        <f ca="1">IF(C25&lt;=CRONO.NivelExibicao,MAX($AD$15:OFFSET(AD25,-1,0))+IF($C25&lt;&gt;1,1,MAX(1,COUNTIF(QCI!$A$13:$A$24,OFFSET($E25,-1,0)))),"")</f>
        <v/>
      </c>
      <c r="AE25" s="114" t="b">
        <f t="shared" ca="1" si="19"/>
        <v>0</v>
      </c>
      <c r="AF25" s="159" t="str">
        <f t="shared" ca="1" si="20"/>
        <v>(abra o arquivo 'Referência 05-2023.xls)</v>
      </c>
      <c r="AG25" s="549">
        <f t="shared" ca="1" si="21"/>
        <v>0</v>
      </c>
      <c r="AH25" s="550">
        <f t="shared" ca="1" si="22"/>
        <v>0.25</v>
      </c>
      <c r="AJ25" s="552"/>
      <c r="AL25" s="573"/>
      <c r="AM25" s="430">
        <f t="shared" ca="1" si="0"/>
        <v>0</v>
      </c>
      <c r="AN25" s="616">
        <f t="shared" ca="1" si="23"/>
        <v>0</v>
      </c>
    </row>
    <row r="26" spans="1:40" hidden="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3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3" t="str">
        <f t="shared" ca="1" si="10"/>
        <v/>
      </c>
      <c r="M26" s="144" t="s">
        <v>198</v>
      </c>
      <c r="N26" s="145" t="str">
        <f t="shared" ca="1" si="11"/>
        <v>Serviço</v>
      </c>
      <c r="O26" s="146" t="str">
        <f t="shared" ca="1" si="12"/>
        <v>-</v>
      </c>
      <c r="P26" s="147" t="s">
        <v>246</v>
      </c>
      <c r="Q26" s="148"/>
      <c r="R26" s="149" t="str">
        <f t="shared" ca="1" si="24"/>
        <v>(abra o arquivo 'Referência 05-2023.xls)</v>
      </c>
      <c r="S26" s="150" t="str">
        <f t="shared" ca="1" si="13"/>
        <v>-</v>
      </c>
      <c r="T26" s="151">
        <f ca="1">OFFSET(CÁLCULO!H$15,ROW($T26)-ROW(T$15),0)</f>
        <v>0</v>
      </c>
      <c r="U26" s="152"/>
      <c r="V26" s="153" t="s">
        <v>155</v>
      </c>
      <c r="W26" s="151">
        <f t="shared" ca="1" si="14"/>
        <v>0</v>
      </c>
      <c r="X26" s="154">
        <f t="shared" ca="1" si="15"/>
        <v>0</v>
      </c>
      <c r="Y26" s="155" t="s">
        <v>244</v>
      </c>
      <c r="Z26" t="str">
        <f t="shared" ca="1" si="16"/>
        <v/>
      </c>
      <c r="AA26" s="156">
        <f ca="1">IF($C26="S",IF($Z26="CP",$X26,IF($Z26="RA",(($X26)*QCI!$AA$3),0)),SomaAgrup)</f>
        <v>0</v>
      </c>
      <c r="AB26" s="157">
        <f t="shared" ca="1" si="17"/>
        <v>0</v>
      </c>
      <c r="AC26" s="158" t="str">
        <f t="shared" ca="1" si="18"/>
        <v/>
      </c>
      <c r="AD26" s="104" t="str">
        <f ca="1">IF(C26&lt;=CRONO.NivelExibicao,MAX($AD$15:OFFSET(AD26,-1,0))+IF($C26&lt;&gt;1,1,MAX(1,COUNTIF(QCI!$A$13:$A$24,OFFSET($E26,-1,0)))),"")</f>
        <v/>
      </c>
      <c r="AE26" s="114" t="b">
        <f t="shared" ca="1" si="19"/>
        <v>0</v>
      </c>
      <c r="AF26" s="159" t="str">
        <f t="shared" ca="1" si="20"/>
        <v>(abra o arquivo 'Referência 05-2023.xls)</v>
      </c>
      <c r="AG26" s="549">
        <f t="shared" ca="1" si="21"/>
        <v>0</v>
      </c>
      <c r="AH26" s="550">
        <f t="shared" ca="1" si="22"/>
        <v>0.25</v>
      </c>
      <c r="AJ26" s="552"/>
      <c r="AL26" s="573"/>
      <c r="AM26" s="430">
        <f t="shared" ca="1" si="0"/>
        <v>0</v>
      </c>
      <c r="AN26" s="616">
        <f t="shared" ca="1" si="23"/>
        <v>0</v>
      </c>
    </row>
    <row r="27" spans="1:40" hidden="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3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3" t="str">
        <f t="shared" ca="1" si="10"/>
        <v/>
      </c>
      <c r="M27" s="144" t="s">
        <v>198</v>
      </c>
      <c r="N27" s="145" t="str">
        <f t="shared" ca="1" si="11"/>
        <v>Serviço</v>
      </c>
      <c r="O27" s="146" t="str">
        <f t="shared" ca="1" si="12"/>
        <v>-</v>
      </c>
      <c r="P27" s="147" t="s">
        <v>246</v>
      </c>
      <c r="Q27" s="148"/>
      <c r="R27" s="149" t="str">
        <f t="shared" ca="1" si="24"/>
        <v>(abra o arquivo 'Referência 05-2023.xls)</v>
      </c>
      <c r="S27" s="150" t="str">
        <f t="shared" ca="1" si="13"/>
        <v>-</v>
      </c>
      <c r="T27" s="151">
        <f ca="1">OFFSET(CÁLCULO!H$15,ROW($T27)-ROW(T$15),0)</f>
        <v>0</v>
      </c>
      <c r="U27" s="152"/>
      <c r="V27" s="153" t="s">
        <v>155</v>
      </c>
      <c r="W27" s="151">
        <f t="shared" ca="1" si="14"/>
        <v>0</v>
      </c>
      <c r="X27" s="154">
        <f t="shared" ca="1" si="15"/>
        <v>0</v>
      </c>
      <c r="Y27" s="155" t="s">
        <v>244</v>
      </c>
      <c r="Z27" t="str">
        <f t="shared" ca="1" si="16"/>
        <v/>
      </c>
      <c r="AA27" s="156">
        <f ca="1">IF($C27="S",IF($Z27="CP",$X27,IF($Z27="RA",(($X27)*QCI!$AA$3),0)),SomaAgrup)</f>
        <v>0</v>
      </c>
      <c r="AB27" s="157">
        <f t="shared" ca="1" si="17"/>
        <v>0</v>
      </c>
      <c r="AC27" s="158" t="str">
        <f t="shared" ca="1" si="18"/>
        <v/>
      </c>
      <c r="AD27" s="104" t="str">
        <f ca="1">IF(C27&lt;=CRONO.NivelExibicao,MAX($AD$15:OFFSET(AD27,-1,0))+IF($C27&lt;&gt;1,1,MAX(1,COUNTIF(QCI!$A$13:$A$24,OFFSET($E27,-1,0)))),"")</f>
        <v/>
      </c>
      <c r="AE27" s="114" t="b">
        <f t="shared" ca="1" si="19"/>
        <v>0</v>
      </c>
      <c r="AF27" s="159" t="str">
        <f t="shared" ca="1" si="20"/>
        <v>(abra o arquivo 'Referência 05-2023.xls)</v>
      </c>
      <c r="AG27" s="549">
        <f t="shared" ca="1" si="21"/>
        <v>0</v>
      </c>
      <c r="AH27" s="550">
        <f t="shared" ca="1" si="22"/>
        <v>0.25</v>
      </c>
      <c r="AJ27" s="552"/>
      <c r="AL27" s="573"/>
      <c r="AM27" s="430">
        <f t="shared" ca="1" si="0"/>
        <v>0</v>
      </c>
      <c r="AN27" s="616">
        <f t="shared" ca="1" si="23"/>
        <v>0</v>
      </c>
    </row>
    <row r="28" spans="1:40" hidden="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3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3" t="str">
        <f t="shared" ca="1" si="10"/>
        <v/>
      </c>
      <c r="M28" s="144" t="s">
        <v>198</v>
      </c>
      <c r="N28" s="145" t="str">
        <f t="shared" ca="1" si="11"/>
        <v>Serviço</v>
      </c>
      <c r="O28" s="146" t="str">
        <f t="shared" ca="1" si="12"/>
        <v>-</v>
      </c>
      <c r="P28" s="147" t="s">
        <v>246</v>
      </c>
      <c r="Q28" s="148"/>
      <c r="R28" s="149" t="str">
        <f t="shared" ca="1" si="24"/>
        <v>(abra o arquivo 'Referência 05-2023.xls)</v>
      </c>
      <c r="S28" s="150" t="str">
        <f t="shared" ca="1" si="13"/>
        <v>-</v>
      </c>
      <c r="T28" s="151">
        <f ca="1">OFFSET(CÁLCULO!H$15,ROW($T28)-ROW(T$15),0)</f>
        <v>0</v>
      </c>
      <c r="U28" s="152"/>
      <c r="V28" s="153" t="s">
        <v>155</v>
      </c>
      <c r="W28" s="151">
        <f t="shared" ca="1" si="14"/>
        <v>0</v>
      </c>
      <c r="X28" s="154">
        <f t="shared" ca="1" si="15"/>
        <v>0</v>
      </c>
      <c r="Y28" s="155" t="s">
        <v>244</v>
      </c>
      <c r="Z28" t="str">
        <f t="shared" ca="1" si="16"/>
        <v/>
      </c>
      <c r="AA28" s="156">
        <f ca="1">IF($C28="S",IF($Z28="CP",$X28,IF($Z28="RA",(($X28)*QCI!$AA$3),0)),SomaAgrup)</f>
        <v>0</v>
      </c>
      <c r="AB28" s="157">
        <f t="shared" ca="1" si="17"/>
        <v>0</v>
      </c>
      <c r="AC28" s="158" t="str">
        <f t="shared" ca="1" si="18"/>
        <v/>
      </c>
      <c r="AD28" s="104" t="str">
        <f ca="1">IF(C28&lt;=CRONO.NivelExibicao,MAX($AD$15:OFFSET(AD28,-1,0))+IF($C28&lt;&gt;1,1,MAX(1,COUNTIF(QCI!$A$13:$A$24,OFFSET($E28,-1,0)))),"")</f>
        <v/>
      </c>
      <c r="AE28" s="114" t="b">
        <f t="shared" ca="1" si="19"/>
        <v>0</v>
      </c>
      <c r="AF28" s="159" t="str">
        <f t="shared" ca="1" si="20"/>
        <v>(abra o arquivo 'Referência 05-2023.xls)</v>
      </c>
      <c r="AG28" s="549">
        <f t="shared" ca="1" si="21"/>
        <v>0</v>
      </c>
      <c r="AH28" s="550">
        <f t="shared" ca="1" si="22"/>
        <v>0.25</v>
      </c>
      <c r="AJ28" s="552"/>
      <c r="AL28" s="573"/>
      <c r="AM28" s="430">
        <f t="shared" ca="1" si="0"/>
        <v>0</v>
      </c>
      <c r="AN28" s="616">
        <f t="shared" ca="1" si="23"/>
        <v>0</v>
      </c>
    </row>
    <row r="29" spans="1:40" hidden="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3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3" t="str">
        <f t="shared" ca="1" si="10"/>
        <v/>
      </c>
      <c r="M29" s="144" t="s">
        <v>198</v>
      </c>
      <c r="N29" s="145" t="str">
        <f t="shared" ca="1" si="11"/>
        <v>Serviço</v>
      </c>
      <c r="O29" s="146" t="str">
        <f t="shared" ca="1" si="12"/>
        <v>-</v>
      </c>
      <c r="P29" s="147" t="s">
        <v>246</v>
      </c>
      <c r="Q29" s="148"/>
      <c r="R29" s="149" t="str">
        <f t="shared" ca="1" si="24"/>
        <v>(abra o arquivo 'Referência 05-2023.xls)</v>
      </c>
      <c r="S29" s="150" t="str">
        <f t="shared" ca="1" si="13"/>
        <v>-</v>
      </c>
      <c r="T29" s="151">
        <f ca="1">OFFSET(CÁLCULO!H$15,ROW($T29)-ROW(T$15),0)</f>
        <v>0</v>
      </c>
      <c r="U29" s="152"/>
      <c r="V29" s="153" t="s">
        <v>155</v>
      </c>
      <c r="W29" s="151">
        <f t="shared" ca="1" si="14"/>
        <v>0</v>
      </c>
      <c r="X29" s="154">
        <f t="shared" ca="1" si="15"/>
        <v>0</v>
      </c>
      <c r="Y29" s="155" t="s">
        <v>244</v>
      </c>
      <c r="Z29" t="str">
        <f t="shared" ca="1" si="16"/>
        <v/>
      </c>
      <c r="AA29" s="156">
        <f ca="1">IF($C29="S",IF($Z29="CP",$X29,IF($Z29="RA",(($X29)*QCI!$AA$3),0)),SomaAgrup)</f>
        <v>0</v>
      </c>
      <c r="AB29" s="157">
        <f t="shared" ca="1" si="17"/>
        <v>0</v>
      </c>
      <c r="AC29" s="158" t="str">
        <f t="shared" ca="1" si="18"/>
        <v/>
      </c>
      <c r="AD29" s="104" t="str">
        <f ca="1">IF(C29&lt;=CRONO.NivelExibicao,MAX($AD$15:OFFSET(AD29,-1,0))+IF($C29&lt;&gt;1,1,MAX(1,COUNTIF(QCI!$A$13:$A$24,OFFSET($E29,-1,0)))),"")</f>
        <v/>
      </c>
      <c r="AE29" s="114" t="b">
        <f t="shared" ca="1" si="19"/>
        <v>0</v>
      </c>
      <c r="AF29" s="159" t="str">
        <f t="shared" ca="1" si="20"/>
        <v>(abra o arquivo 'Referência 05-2023.xls)</v>
      </c>
      <c r="AG29" s="549">
        <f t="shared" ca="1" si="21"/>
        <v>0</v>
      </c>
      <c r="AH29" s="550">
        <f t="shared" ca="1" si="22"/>
        <v>0.25</v>
      </c>
      <c r="AJ29" s="552"/>
      <c r="AL29" s="573"/>
      <c r="AM29" s="430">
        <f t="shared" ca="1" si="0"/>
        <v>0</v>
      </c>
      <c r="AN29" s="616">
        <f t="shared" ca="1" si="23"/>
        <v>0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3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3" t="str">
        <f t="shared" ca="1" si="10"/>
        <v/>
      </c>
      <c r="M30" s="144" t="s">
        <v>198</v>
      </c>
      <c r="N30" s="145" t="str">
        <f t="shared" ca="1" si="11"/>
        <v>Serviço</v>
      </c>
      <c r="O30" s="146" t="str">
        <f t="shared" ca="1" si="12"/>
        <v>-</v>
      </c>
      <c r="P30" s="147" t="s">
        <v>246</v>
      </c>
      <c r="Q30" s="148"/>
      <c r="R30" s="149" t="str">
        <f t="shared" ca="1" si="24"/>
        <v>(abra o arquivo 'Referência 05-2023.xls)</v>
      </c>
      <c r="S30" s="150" t="str">
        <f t="shared" ca="1" si="13"/>
        <v>-</v>
      </c>
      <c r="T30" s="151">
        <f ca="1">OFFSET(CÁLCULO!H$15,ROW($T30)-ROW(T$15),0)</f>
        <v>0</v>
      </c>
      <c r="U30" s="152"/>
      <c r="V30" s="153" t="s">
        <v>155</v>
      </c>
      <c r="W30" s="151">
        <f t="shared" ca="1" si="14"/>
        <v>0</v>
      </c>
      <c r="X30" s="154">
        <f t="shared" ca="1" si="15"/>
        <v>0</v>
      </c>
      <c r="Y30" s="155" t="s">
        <v>244</v>
      </c>
      <c r="Z30" t="str">
        <f t="shared" ca="1" si="16"/>
        <v/>
      </c>
      <c r="AA30" s="156">
        <f ca="1">IF($C30="S",IF($Z30="CP",$X30,IF($Z30="RA",(($X30)*QCI!$AA$3),0)),SomaAgrup)</f>
        <v>0</v>
      </c>
      <c r="AB30" s="157">
        <f t="shared" ca="1" si="17"/>
        <v>0</v>
      </c>
      <c r="AC30" s="158" t="str">
        <f t="shared" ca="1" si="18"/>
        <v/>
      </c>
      <c r="AD30" s="104" t="str">
        <f ca="1">IF(C30&lt;=CRONO.NivelExibicao,MAX($AD$15:OFFSET(AD30,-1,0))+IF($C30&lt;&gt;1,1,MAX(1,COUNTIF(QCI!$A$13:$A$24,OFFSET($E30,-1,0)))),"")</f>
        <v/>
      </c>
      <c r="AE30" s="114" t="b">
        <f t="shared" ca="1" si="19"/>
        <v>0</v>
      </c>
      <c r="AF30" s="159" t="str">
        <f t="shared" ca="1" si="20"/>
        <v>(abra o arquivo 'Referência 05-2023.xls)</v>
      </c>
      <c r="AG30" s="549">
        <f t="shared" ca="1" si="21"/>
        <v>0</v>
      </c>
      <c r="AH30" s="550">
        <f t="shared" ca="1" si="22"/>
        <v>0.25</v>
      </c>
      <c r="AJ30" s="552"/>
      <c r="AL30" s="573"/>
      <c r="AM30" s="430">
        <f t="shared" ca="1" si="0"/>
        <v>0</v>
      </c>
      <c r="AN30" s="616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3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3" t="str">
        <f t="shared" ca="1" si="10"/>
        <v/>
      </c>
      <c r="M31" s="144" t="s">
        <v>198</v>
      </c>
      <c r="N31" s="145" t="str">
        <f t="shared" ca="1" si="11"/>
        <v>Serviço</v>
      </c>
      <c r="O31" s="146" t="str">
        <f t="shared" ca="1" si="12"/>
        <v>-</v>
      </c>
      <c r="P31" s="147" t="s">
        <v>246</v>
      </c>
      <c r="Q31" s="148"/>
      <c r="R31" s="149" t="str">
        <f t="shared" ca="1" si="24"/>
        <v>(abra o arquivo 'Referência 05-2023.xls)</v>
      </c>
      <c r="S31" s="150" t="str">
        <f t="shared" ca="1" si="13"/>
        <v>-</v>
      </c>
      <c r="T31" s="151">
        <f ca="1">OFFSET(CÁLCULO!H$15,ROW($T31)-ROW(T$15),0)</f>
        <v>0</v>
      </c>
      <c r="U31" s="152"/>
      <c r="V31" s="153" t="s">
        <v>155</v>
      </c>
      <c r="W31" s="151">
        <f t="shared" ca="1" si="14"/>
        <v>0</v>
      </c>
      <c r="X31" s="154">
        <f t="shared" ca="1" si="15"/>
        <v>0</v>
      </c>
      <c r="Y31" s="155" t="s">
        <v>244</v>
      </c>
      <c r="Z31" t="str">
        <f t="shared" ca="1" si="16"/>
        <v/>
      </c>
      <c r="AA31" s="156">
        <f ca="1">IF($C31="S",IF($Z31="CP",$X31,IF($Z31="RA",(($X31)*QCI!$AA$3),0)),SomaAgrup)</f>
        <v>0</v>
      </c>
      <c r="AB31" s="157">
        <f t="shared" ca="1" si="17"/>
        <v>0</v>
      </c>
      <c r="AC31" s="158" t="str">
        <f t="shared" ca="1" si="18"/>
        <v/>
      </c>
      <c r="AD31" s="104" t="str">
        <f ca="1">IF(C31&lt;=CRONO.NivelExibicao,MAX($AD$15:OFFSET(AD31,-1,0))+IF($C31&lt;&gt;1,1,MAX(1,COUNTIF(QCI!$A$13:$A$24,OFFSET($E31,-1,0)))),"")</f>
        <v/>
      </c>
      <c r="AE31" s="114" t="b">
        <f t="shared" ca="1" si="19"/>
        <v>0</v>
      </c>
      <c r="AF31" s="159" t="str">
        <f t="shared" ca="1" si="20"/>
        <v>(abra o arquivo 'Referência 05-2023.xls)</v>
      </c>
      <c r="AG31" s="549">
        <f t="shared" ca="1" si="21"/>
        <v>0</v>
      </c>
      <c r="AH31" s="550">
        <f t="shared" ca="1" si="22"/>
        <v>0.25</v>
      </c>
      <c r="AJ31" s="552"/>
      <c r="AL31" s="573"/>
      <c r="AM31" s="430">
        <f t="shared" ca="1" si="0"/>
        <v>0</v>
      </c>
      <c r="AN31" s="616">
        <f t="shared" ca="1" si="23"/>
        <v>0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3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3" t="str">
        <f t="shared" ca="1" si="10"/>
        <v/>
      </c>
      <c r="M32" s="144" t="s">
        <v>198</v>
      </c>
      <c r="N32" s="145" t="str">
        <f t="shared" ca="1" si="11"/>
        <v>Serviço</v>
      </c>
      <c r="O32" s="146" t="str">
        <f t="shared" ca="1" si="12"/>
        <v>-</v>
      </c>
      <c r="P32" s="147" t="s">
        <v>444</v>
      </c>
      <c r="Q32" s="148"/>
      <c r="R32" s="149" t="str">
        <f ca="1">IF($C32="S",REFERENCIA.Descricao,"(digite a descrição aqui)")</f>
        <v>(abra o arquivo 'Referência 05-2023.xls)</v>
      </c>
      <c r="S32" s="150" t="str">
        <f t="shared" ca="1" si="13"/>
        <v>-</v>
      </c>
      <c r="T32" s="151">
        <f ca="1">OFFSET(CÁLCULO!H$15,ROW($T32)-ROW(T$15),0)</f>
        <v>0</v>
      </c>
      <c r="U32" s="152"/>
      <c r="V32" s="153" t="s">
        <v>155</v>
      </c>
      <c r="W32" s="151">
        <f t="shared" ca="1" si="14"/>
        <v>0</v>
      </c>
      <c r="X32" s="154">
        <f t="shared" ca="1" si="15"/>
        <v>0</v>
      </c>
      <c r="Y32" s="155" t="s">
        <v>244</v>
      </c>
      <c r="Z32" t="str">
        <f t="shared" ca="1" si="16"/>
        <v/>
      </c>
      <c r="AA32" s="156">
        <f ca="1">IF($C32="S",IF($Z32="CP",$X32,IF($Z32="RA",(($X32)*QCI!$AA$3),0)),SomaAgrup)</f>
        <v>0</v>
      </c>
      <c r="AB32" s="157">
        <f t="shared" ca="1" si="17"/>
        <v>0</v>
      </c>
      <c r="AC32" s="158" t="str">
        <f t="shared" ca="1" si="18"/>
        <v/>
      </c>
      <c r="AD32" s="104" t="str">
        <f ca="1">IF(C32&lt;=CRONO.NivelExibicao,MAX($AD$15:OFFSET(AD32,-1,0))+IF($C32&lt;&gt;1,1,MAX(1,COUNTIF(QCI!$A$13:$A$24,OFFSET($E32,-1,0)))),"")</f>
        <v/>
      </c>
      <c r="AE32" s="114" t="b">
        <f t="shared" ca="1" si="19"/>
        <v>0</v>
      </c>
      <c r="AF32" s="159" t="str">
        <f t="shared" ca="1" si="20"/>
        <v>(abra o arquivo 'Referência 05-2023.xls)</v>
      </c>
      <c r="AG32" s="549">
        <f t="shared" ca="1" si="21"/>
        <v>0</v>
      </c>
      <c r="AH32" s="550">
        <f t="shared" ca="1" si="22"/>
        <v>0.25</v>
      </c>
      <c r="AJ32" s="552"/>
      <c r="AL32" s="573"/>
      <c r="AM32" s="430">
        <f t="shared" ca="1" si="0"/>
        <v>0</v>
      </c>
      <c r="AN32" s="616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3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3" t="str">
        <f t="shared" ca="1" si="10"/>
        <v/>
      </c>
      <c r="M33" s="144" t="s">
        <v>198</v>
      </c>
      <c r="N33" s="145" t="str">
        <f t="shared" ca="1" si="11"/>
        <v>Serviço</v>
      </c>
      <c r="O33" s="146" t="str">
        <f t="shared" ca="1" si="12"/>
        <v>-</v>
      </c>
      <c r="P33" s="147" t="s">
        <v>246</v>
      </c>
      <c r="Q33" s="148"/>
      <c r="R33" s="149" t="str">
        <f t="shared" ca="1" si="24"/>
        <v>(abra o arquivo 'Referência 05-2023.xls)</v>
      </c>
      <c r="S33" s="150" t="str">
        <f t="shared" ca="1" si="13"/>
        <v>-</v>
      </c>
      <c r="T33" s="151">
        <f ca="1">OFFSET(CÁLCULO!H$15,ROW($T33)-ROW(T$15),0)</f>
        <v>0</v>
      </c>
      <c r="U33" s="152"/>
      <c r="V33" s="153" t="s">
        <v>155</v>
      </c>
      <c r="W33" s="151">
        <f t="shared" ca="1" si="14"/>
        <v>0</v>
      </c>
      <c r="X33" s="154">
        <f t="shared" ca="1" si="15"/>
        <v>0</v>
      </c>
      <c r="Y33" s="155" t="s">
        <v>244</v>
      </c>
      <c r="Z33" t="str">
        <f t="shared" ca="1" si="16"/>
        <v/>
      </c>
      <c r="AA33" s="156">
        <f ca="1">IF($C33="S",IF($Z33="CP",$X33,IF($Z33="RA",(($X33)*QCI!$AA$3),0)),SomaAgrup)</f>
        <v>0</v>
      </c>
      <c r="AB33" s="157">
        <f t="shared" ca="1" si="17"/>
        <v>0</v>
      </c>
      <c r="AC33" s="158" t="str">
        <f t="shared" ca="1" si="18"/>
        <v/>
      </c>
      <c r="AD33" s="104" t="str">
        <f ca="1">IF(C33&lt;=CRONO.NivelExibicao,MAX($AD$15:OFFSET(AD33,-1,0))+IF($C33&lt;&gt;1,1,MAX(1,COUNTIF(QCI!$A$13:$A$24,OFFSET($E33,-1,0)))),"")</f>
        <v/>
      </c>
      <c r="AE33" s="114" t="b">
        <f t="shared" ca="1" si="19"/>
        <v>0</v>
      </c>
      <c r="AF33" s="159" t="str">
        <f t="shared" ca="1" si="20"/>
        <v>(abra o arquivo 'Referência 05-2023.xls)</v>
      </c>
      <c r="AG33" s="549">
        <f t="shared" ca="1" si="21"/>
        <v>0</v>
      </c>
      <c r="AH33" s="550">
        <f t="shared" ca="1" si="22"/>
        <v>0.25</v>
      </c>
      <c r="AJ33" s="552"/>
      <c r="AL33" s="573"/>
      <c r="AM33" s="430">
        <f t="shared" ca="1" si="0"/>
        <v>0</v>
      </c>
      <c r="AN33" s="616">
        <f t="shared" ca="1" si="23"/>
        <v>0</v>
      </c>
    </row>
    <row r="34" spans="1:40" x14ac:dyDescent="0.2">
      <c r="A34">
        <f t="shared" si="1"/>
        <v>2</v>
      </c>
      <c r="B34">
        <f t="shared" ca="1" si="2"/>
        <v>2</v>
      </c>
      <c r="C34">
        <f t="shared" ca="1" si="3"/>
        <v>2</v>
      </c>
      <c r="D34">
        <f t="shared" ca="1" si="4"/>
        <v>8</v>
      </c>
      <c r="E34">
        <f ca="1">IF($C34=1,OFFSET(E34,-1,0)+MAX(1,COUNTIF(QCI!$A$13:$A$24,OFFSET(ORÇAMENTO!E34,-1,0))),OFFSET(E34,-1,0))</f>
        <v>1</v>
      </c>
      <c r="F34">
        <f t="shared" ca="1" si="5"/>
        <v>2</v>
      </c>
      <c r="G34">
        <f t="shared" ca="1" si="6"/>
        <v>0</v>
      </c>
      <c r="H34">
        <f t="shared" ca="1" si="7"/>
        <v>0</v>
      </c>
      <c r="I34">
        <f t="shared" ca="1" si="8"/>
        <v>0</v>
      </c>
      <c r="J34">
        <f t="shared" ca="1" si="9"/>
        <v>232</v>
      </c>
      <c r="K34">
        <f ca="1">IF(OR($C34="S",$C34=0),0,MATCH(OFFSET($D34,0,$C34)+IF($C34&lt;&gt;1,1,COUNTIF(QCI!$A$13:$A$24,ORÇAMENTO!E34)),OFFSET($D34,1,$C34,ROW($C$266)-ROW($C34)),0))</f>
        <v>8</v>
      </c>
      <c r="L34" s="143" t="str">
        <f t="shared" ca="1" si="10"/>
        <v>F</v>
      </c>
      <c r="M34" s="144" t="s">
        <v>195</v>
      </c>
      <c r="N34" s="145" t="str">
        <f t="shared" ca="1" si="11"/>
        <v>Nível 2</v>
      </c>
      <c r="O34" s="146" t="str">
        <f t="shared" ca="1" si="12"/>
        <v>1.2.</v>
      </c>
      <c r="P34" s="147" t="s">
        <v>246</v>
      </c>
      <c r="Q34" s="148"/>
      <c r="R34" s="149" t="s">
        <v>455</v>
      </c>
      <c r="S34" s="150" t="str">
        <f t="shared" ca="1" si="13"/>
        <v>-</v>
      </c>
      <c r="T34" s="151">
        <f ca="1">OFFSET(CÁLCULO!H$15,ROW($T34)-ROW(T$15),0)</f>
        <v>0</v>
      </c>
      <c r="U34" s="152"/>
      <c r="V34" s="153" t="s">
        <v>155</v>
      </c>
      <c r="W34" s="151">
        <f t="shared" ca="1" si="14"/>
        <v>0</v>
      </c>
      <c r="X34" s="154">
        <f t="shared" ca="1" si="15"/>
        <v>160977.84</v>
      </c>
      <c r="Y34" s="155" t="s">
        <v>244</v>
      </c>
      <c r="Z34" t="str">
        <f t="shared" ca="1" si="16"/>
        <v/>
      </c>
      <c r="AA34" s="156">
        <f ca="1">IF($C34="S",IF($Z34="CP",$X34,IF($Z34="RA",(($X34)*QCI!$AA$3),0)),SomaAgrup)</f>
        <v>160977.84</v>
      </c>
      <c r="AB34" s="157">
        <f t="shared" ca="1" si="17"/>
        <v>0</v>
      </c>
      <c r="AC34" s="158" t="str">
        <f t="shared" ca="1" si="18"/>
        <v/>
      </c>
      <c r="AD34" s="104">
        <f ca="1">IF(C34&lt;=CRONO.NivelExibicao,MAX($AD$15:OFFSET(AD34,-1,0))+IF($C34&lt;&gt;1,1,MAX(1,COUNTIF(QCI!$A$13:$A$24,OFFSET($E34,-1,0)))),"")</f>
        <v>3</v>
      </c>
      <c r="AE34" s="114" t="b">
        <f t="shared" ca="1" si="19"/>
        <v>0</v>
      </c>
      <c r="AF34" s="159" t="str">
        <f t="shared" ca="1" si="20"/>
        <v>(abra o arquivo 'Referência 05-2023.xls)</v>
      </c>
      <c r="AG34" s="549">
        <f t="shared" ca="1" si="21"/>
        <v>0</v>
      </c>
      <c r="AH34" s="550">
        <f t="shared" ca="1" si="22"/>
        <v>0.25</v>
      </c>
      <c r="AJ34" s="552"/>
      <c r="AL34" s="573"/>
      <c r="AM34" s="430">
        <f t="shared" ca="1" si="0"/>
        <v>160977.84</v>
      </c>
      <c r="AN34" s="616">
        <f t="shared" ca="1" si="23"/>
        <v>0</v>
      </c>
    </row>
    <row r="35" spans="1:40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2</v>
      </c>
      <c r="G35">
        <f t="shared" ca="1" si="6"/>
        <v>0</v>
      </c>
      <c r="H35">
        <f t="shared" ca="1" si="7"/>
        <v>0</v>
      </c>
      <c r="I35">
        <f t="shared" ca="1" si="8"/>
        <v>1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3" t="str">
        <f t="shared" ca="1" si="10"/>
        <v>F</v>
      </c>
      <c r="M35" s="144" t="s">
        <v>198</v>
      </c>
      <c r="N35" s="145" t="str">
        <f t="shared" ca="1" si="11"/>
        <v>Serviço</v>
      </c>
      <c r="O35" s="146" t="str">
        <f t="shared" ca="1" si="12"/>
        <v>1.2.1.</v>
      </c>
      <c r="P35" s="147" t="s">
        <v>456</v>
      </c>
      <c r="Q35" s="148" t="s">
        <v>457</v>
      </c>
      <c r="R35" s="149" t="str">
        <f t="shared" ca="1" si="24"/>
        <v>(abra o arquivo 'Referência 05-2023.xls)</v>
      </c>
      <c r="S35" s="150" t="str">
        <f t="shared" ca="1" si="13"/>
        <v>-</v>
      </c>
      <c r="T35" s="151">
        <f ca="1">OFFSET(CÁLCULO!H$15,ROW($T35)-ROW(T$15),0)</f>
        <v>195</v>
      </c>
      <c r="U35" s="152">
        <v>536</v>
      </c>
      <c r="V35" s="153" t="s">
        <v>155</v>
      </c>
      <c r="W35" s="151">
        <f t="shared" ca="1" si="14"/>
        <v>670</v>
      </c>
      <c r="X35" s="154">
        <f t="shared" ca="1" si="15"/>
        <v>130650</v>
      </c>
      <c r="Y35" s="155" t="s">
        <v>244</v>
      </c>
      <c r="Z35" t="str">
        <f t="shared" ca="1" si="16"/>
        <v>RA</v>
      </c>
      <c r="AA35" s="156">
        <f ca="1">IF($C35="S",IF($Z35="CP",$X35,IF($Z35="RA",(($X35)*QCI!$AA$3),0)),SomaAgrup)</f>
        <v>130650</v>
      </c>
      <c r="AB35" s="157">
        <f t="shared" ca="1" si="17"/>
        <v>0</v>
      </c>
      <c r="AC35" s="158" t="str">
        <f t="shared" ca="1" si="18"/>
        <v/>
      </c>
      <c r="AD35" s="104" t="str">
        <f ca="1">IF(C35&lt;=CRONO.NivelExibicao,MAX($AD$15:OFFSET(AD35,-1,0))+IF($C35&lt;&gt;1,1,MAX(1,COUNTIF(QCI!$A$13:$A$24,OFFSET($E35,-1,0)))),"")</f>
        <v/>
      </c>
      <c r="AE35" s="114" t="str">
        <f t="shared" ca="1" si="19"/>
        <v>Composição 02</v>
      </c>
      <c r="AF35" s="159" t="str">
        <f t="shared" ca="1" si="20"/>
        <v>(abra o arquivo 'Referência 05-2023.xls)</v>
      </c>
      <c r="AG35" s="549">
        <f t="shared" ca="1" si="21"/>
        <v>0</v>
      </c>
      <c r="AH35" s="550">
        <f t="shared" ca="1" si="22"/>
        <v>0.25</v>
      </c>
      <c r="AJ35" s="552">
        <v>195</v>
      </c>
      <c r="AL35" s="573"/>
      <c r="AM35" s="430">
        <f t="shared" ca="1" si="0"/>
        <v>130650</v>
      </c>
      <c r="AN35" s="616">
        <f t="shared" ca="1" si="23"/>
        <v>670</v>
      </c>
    </row>
    <row r="36" spans="1:40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2</v>
      </c>
      <c r="G36">
        <f t="shared" ca="1" si="6"/>
        <v>0</v>
      </c>
      <c r="H36">
        <f t="shared" ca="1" si="7"/>
        <v>0</v>
      </c>
      <c r="I36">
        <f t="shared" ca="1" si="8"/>
        <v>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3" t="str">
        <f t="shared" ca="1" si="10"/>
        <v>F</v>
      </c>
      <c r="M36" s="144" t="s">
        <v>198</v>
      </c>
      <c r="N36" s="145" t="str">
        <f t="shared" ca="1" si="11"/>
        <v>Serviço</v>
      </c>
      <c r="O36" s="146" t="str">
        <f t="shared" ca="1" si="12"/>
        <v>1.2.2.</v>
      </c>
      <c r="P36" s="147" t="s">
        <v>456</v>
      </c>
      <c r="Q36" s="148" t="s">
        <v>461</v>
      </c>
      <c r="R36" s="149" t="str">
        <f ca="1">IF($C36="S",REFERENCIA.Descricao,"(digite a descrição aqui)")</f>
        <v>(abra o arquivo 'Referência 05-2023.xls)</v>
      </c>
      <c r="S36" s="150" t="str">
        <f t="shared" ca="1" si="13"/>
        <v>-</v>
      </c>
      <c r="T36" s="151">
        <f ca="1">OFFSET(CÁLCULO!H$15,ROW($T36)-ROW(T$15),0)</f>
        <v>15.08</v>
      </c>
      <c r="U36" s="152">
        <v>811.06</v>
      </c>
      <c r="V36" s="153" t="s">
        <v>155</v>
      </c>
      <c r="W36" s="151">
        <f t="shared" ca="1" si="14"/>
        <v>1013.83</v>
      </c>
      <c r="X36" s="154">
        <f t="shared" ca="1" si="15"/>
        <v>15288.56</v>
      </c>
      <c r="Y36" s="155" t="s">
        <v>244</v>
      </c>
      <c r="Z36" t="str">
        <f t="shared" ca="1" si="16"/>
        <v>RA</v>
      </c>
      <c r="AA36" s="156">
        <f ca="1">IF($C36="S",IF($Z36="CP",$X36,IF($Z36="RA",(($X36)*QCI!$AA$3),0)),SomaAgrup)</f>
        <v>15288.56</v>
      </c>
      <c r="AB36" s="157">
        <f t="shared" ca="1" si="17"/>
        <v>0</v>
      </c>
      <c r="AC36" s="158" t="str">
        <f t="shared" ca="1" si="18"/>
        <v/>
      </c>
      <c r="AD36" s="104" t="str">
        <f ca="1">IF(C36&lt;=CRONO.NivelExibicao,MAX($AD$15:OFFSET(AD36,-1,0))+IF($C36&lt;&gt;1,1,MAX(1,COUNTIF(QCI!$A$13:$A$24,OFFSET($E36,-1,0)))),"")</f>
        <v/>
      </c>
      <c r="AE36" s="114" t="str">
        <f t="shared" ca="1" si="19"/>
        <v>Composição 03</v>
      </c>
      <c r="AF36" s="159" t="str">
        <f t="shared" ca="1" si="20"/>
        <v>(abra o arquivo 'Referência 05-2023.xls)</v>
      </c>
      <c r="AG36" s="549">
        <f t="shared" ca="1" si="21"/>
        <v>0</v>
      </c>
      <c r="AH36" s="550">
        <f t="shared" ca="1" si="22"/>
        <v>0.25</v>
      </c>
      <c r="AJ36" s="552">
        <v>15.08</v>
      </c>
      <c r="AL36" s="573"/>
      <c r="AM36" s="430">
        <f t="shared" ca="1" si="0"/>
        <v>15288.56</v>
      </c>
      <c r="AN36" s="616">
        <f t="shared" ca="1" si="23"/>
        <v>1013.83</v>
      </c>
    </row>
    <row r="37" spans="1:40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2</v>
      </c>
      <c r="G37">
        <f t="shared" ca="1" si="6"/>
        <v>0</v>
      </c>
      <c r="H37">
        <f t="shared" ca="1" si="7"/>
        <v>0</v>
      </c>
      <c r="I37">
        <f t="shared" ca="1" si="8"/>
        <v>3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3" t="str">
        <f t="shared" ca="1" si="10"/>
        <v>F</v>
      </c>
      <c r="M37" s="144" t="s">
        <v>198</v>
      </c>
      <c r="N37" s="145" t="str">
        <f t="shared" ca="1" si="11"/>
        <v>Serviço</v>
      </c>
      <c r="O37" s="146" t="str">
        <f t="shared" ca="1" si="12"/>
        <v>1.2.3.</v>
      </c>
      <c r="P37" s="147" t="s">
        <v>246</v>
      </c>
      <c r="Q37" s="148" t="s">
        <v>462</v>
      </c>
      <c r="R37" s="149" t="str">
        <f t="shared" ca="1" si="24"/>
        <v>(abra o arquivo 'Referência 05-2023.xls)</v>
      </c>
      <c r="S37" s="150" t="str">
        <f t="shared" ca="1" si="13"/>
        <v>-</v>
      </c>
      <c r="T37" s="151">
        <f ca="1">OFFSET(CÁLCULO!H$15,ROW($T37)-ROW(T$15),0)</f>
        <v>106</v>
      </c>
      <c r="U37" s="152">
        <v>113.5</v>
      </c>
      <c r="V37" s="153" t="s">
        <v>155</v>
      </c>
      <c r="W37" s="151">
        <f t="shared" ca="1" si="14"/>
        <v>141.88</v>
      </c>
      <c r="X37" s="154">
        <f t="shared" ca="1" si="15"/>
        <v>15039.28</v>
      </c>
      <c r="Y37" s="155" t="s">
        <v>244</v>
      </c>
      <c r="Z37" t="str">
        <f t="shared" ca="1" si="16"/>
        <v>RA</v>
      </c>
      <c r="AA37" s="156">
        <f ca="1">IF($C37="S",IF($Z37="CP",$X37,IF($Z37="RA",(($X37)*QCI!$AA$3),0)),SomaAgrup)</f>
        <v>15039.28</v>
      </c>
      <c r="AB37" s="157">
        <f t="shared" ca="1" si="17"/>
        <v>0</v>
      </c>
      <c r="AC37" s="158" t="str">
        <f t="shared" ca="1" si="18"/>
        <v/>
      </c>
      <c r="AD37" s="104" t="str">
        <f ca="1">IF(C37&lt;=CRONO.NivelExibicao,MAX($AD$15:OFFSET(AD37,-1,0))+IF($C37&lt;&gt;1,1,MAX(1,COUNTIF(QCI!$A$13:$A$24,OFFSET($E37,-1,0)))),"")</f>
        <v/>
      </c>
      <c r="AE37" s="114" t="str">
        <f t="shared" ca="1" si="19"/>
        <v>SINAPI 98689</v>
      </c>
      <c r="AF37" s="159" t="str">
        <f t="shared" ca="1" si="20"/>
        <v>(abra o arquivo 'Referência 05-2023.xls)</v>
      </c>
      <c r="AG37" s="549">
        <f t="shared" ca="1" si="21"/>
        <v>0</v>
      </c>
      <c r="AH37" s="550">
        <f t="shared" ca="1" si="22"/>
        <v>0.25</v>
      </c>
      <c r="AJ37" s="552">
        <v>106</v>
      </c>
      <c r="AL37" s="573"/>
      <c r="AM37" s="430">
        <f t="shared" ca="1" si="0"/>
        <v>15039.28</v>
      </c>
      <c r="AN37" s="616">
        <f t="shared" ca="1" si="23"/>
        <v>141.88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2</v>
      </c>
      <c r="G38">
        <f t="shared" ca="1" si="6"/>
        <v>0</v>
      </c>
      <c r="H38">
        <f t="shared" ca="1" si="7"/>
        <v>0</v>
      </c>
      <c r="I38">
        <f t="shared" ca="1" si="8"/>
        <v>3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3" t="str">
        <f t="shared" ca="1" si="10"/>
        <v/>
      </c>
      <c r="M38" s="144" t="s">
        <v>198</v>
      </c>
      <c r="N38" s="145" t="str">
        <f t="shared" ca="1" si="11"/>
        <v>Serviço</v>
      </c>
      <c r="O38" s="146" t="str">
        <f t="shared" ca="1" si="12"/>
        <v>-</v>
      </c>
      <c r="P38" s="147" t="s">
        <v>246</v>
      </c>
      <c r="Q38" s="148"/>
      <c r="R38" s="149" t="str">
        <f t="shared" ca="1" si="24"/>
        <v>(abra o arquivo 'Referência 05-2023.xls)</v>
      </c>
      <c r="S38" s="150" t="str">
        <f t="shared" ca="1" si="13"/>
        <v>-</v>
      </c>
      <c r="T38" s="151">
        <f ca="1">OFFSET(CÁLCULO!H$15,ROW($T38)-ROW(T$15),0)</f>
        <v>0</v>
      </c>
      <c r="U38" s="152"/>
      <c r="V38" s="153" t="s">
        <v>155</v>
      </c>
      <c r="W38" s="151">
        <f t="shared" ca="1" si="14"/>
        <v>0</v>
      </c>
      <c r="X38" s="154">
        <f t="shared" ca="1" si="15"/>
        <v>0</v>
      </c>
      <c r="Y38" s="155" t="s">
        <v>244</v>
      </c>
      <c r="Z38" t="str">
        <f t="shared" ca="1" si="16"/>
        <v/>
      </c>
      <c r="AA38" s="156">
        <f ca="1">IF($C38="S",IF($Z38="CP",$X38,IF($Z38="RA",(($X38)*QCI!$AA$3),0)),SomaAgrup)</f>
        <v>0</v>
      </c>
      <c r="AB38" s="157">
        <f t="shared" ca="1" si="17"/>
        <v>0</v>
      </c>
      <c r="AC38" s="158" t="str">
        <f t="shared" ca="1" si="18"/>
        <v/>
      </c>
      <c r="AD38" s="104" t="str">
        <f ca="1">IF(C38&lt;=CRONO.NivelExibicao,MAX($AD$15:OFFSET(AD38,-1,0))+IF($C38&lt;&gt;1,1,MAX(1,COUNTIF(QCI!$A$13:$A$24,OFFSET($E38,-1,0)))),"")</f>
        <v/>
      </c>
      <c r="AE38" s="114" t="b">
        <f t="shared" ca="1" si="19"/>
        <v>0</v>
      </c>
      <c r="AF38" s="159" t="str">
        <f t="shared" ca="1" si="20"/>
        <v>(abra o arquivo 'Referência 05-2023.xls)</v>
      </c>
      <c r="AG38" s="549">
        <f t="shared" ca="1" si="21"/>
        <v>0</v>
      </c>
      <c r="AH38" s="550">
        <f t="shared" ca="1" si="22"/>
        <v>0.25</v>
      </c>
      <c r="AJ38" s="552"/>
      <c r="AL38" s="573"/>
      <c r="AM38" s="430">
        <f t="shared" ca="1" si="0"/>
        <v>0</v>
      </c>
      <c r="AN38" s="616">
        <f t="shared" ca="1" si="23"/>
        <v>0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2</v>
      </c>
      <c r="G39">
        <f t="shared" ca="1" si="6"/>
        <v>0</v>
      </c>
      <c r="H39">
        <f t="shared" ca="1" si="7"/>
        <v>0</v>
      </c>
      <c r="I39">
        <f t="shared" ca="1" si="8"/>
        <v>3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3" t="str">
        <f t="shared" ca="1" si="10"/>
        <v/>
      </c>
      <c r="M39" s="144" t="s">
        <v>198</v>
      </c>
      <c r="N39" s="145" t="str">
        <f t="shared" ca="1" si="11"/>
        <v>Serviço</v>
      </c>
      <c r="O39" s="146" t="str">
        <f t="shared" ca="1" si="12"/>
        <v>-</v>
      </c>
      <c r="P39" s="147" t="s">
        <v>246</v>
      </c>
      <c r="Q39" s="148"/>
      <c r="R39" s="149" t="str">
        <f t="shared" ca="1" si="24"/>
        <v>(abra o arquivo 'Referência 05-2023.xls)</v>
      </c>
      <c r="S39" s="150" t="str">
        <f t="shared" ca="1" si="13"/>
        <v>-</v>
      </c>
      <c r="T39" s="151">
        <f ca="1">OFFSET(CÁLCULO!H$15,ROW($T39)-ROW(T$15),0)</f>
        <v>0</v>
      </c>
      <c r="U39" s="152"/>
      <c r="V39" s="153" t="s">
        <v>155</v>
      </c>
      <c r="W39" s="151">
        <f t="shared" ca="1" si="14"/>
        <v>0</v>
      </c>
      <c r="X39" s="154">
        <f t="shared" ca="1" si="15"/>
        <v>0</v>
      </c>
      <c r="Y39" s="155" t="s">
        <v>244</v>
      </c>
      <c r="Z39" t="str">
        <f t="shared" ca="1" si="16"/>
        <v/>
      </c>
      <c r="AA39" s="156">
        <f ca="1">IF($C39="S",IF($Z39="CP",$X39,IF($Z39="RA",(($X39)*QCI!$AA$3),0)),SomaAgrup)</f>
        <v>0</v>
      </c>
      <c r="AB39" s="157">
        <f t="shared" ca="1" si="17"/>
        <v>0</v>
      </c>
      <c r="AC39" s="158" t="str">
        <f t="shared" ca="1" si="18"/>
        <v/>
      </c>
      <c r="AD39" s="104" t="str">
        <f ca="1">IF(C39&lt;=CRONO.NivelExibicao,MAX($AD$15:OFFSET(AD39,-1,0))+IF($C39&lt;&gt;1,1,MAX(1,COUNTIF(QCI!$A$13:$A$24,OFFSET($E39,-1,0)))),"")</f>
        <v/>
      </c>
      <c r="AE39" s="114" t="b">
        <f t="shared" ca="1" si="19"/>
        <v>0</v>
      </c>
      <c r="AF39" s="159" t="str">
        <f t="shared" ca="1" si="20"/>
        <v>(abra o arquivo 'Referência 05-2023.xls)</v>
      </c>
      <c r="AG39" s="549">
        <f t="shared" ca="1" si="21"/>
        <v>0</v>
      </c>
      <c r="AH39" s="550">
        <f t="shared" ca="1" si="22"/>
        <v>0.25</v>
      </c>
      <c r="AJ39" s="552"/>
      <c r="AL39" s="573"/>
      <c r="AM39" s="430">
        <f t="shared" ca="1" si="0"/>
        <v>0</v>
      </c>
      <c r="AN39" s="616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2</v>
      </c>
      <c r="G40">
        <f t="shared" ca="1" si="6"/>
        <v>0</v>
      </c>
      <c r="H40">
        <f t="shared" ca="1" si="7"/>
        <v>0</v>
      </c>
      <c r="I40">
        <f t="shared" ca="1" si="8"/>
        <v>3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3" t="str">
        <f t="shared" ca="1" si="10"/>
        <v/>
      </c>
      <c r="M40" s="144" t="s">
        <v>198</v>
      </c>
      <c r="N40" s="145" t="str">
        <f t="shared" ca="1" si="11"/>
        <v>Serviço</v>
      </c>
      <c r="O40" s="146" t="str">
        <f t="shared" ca="1" si="12"/>
        <v>-</v>
      </c>
      <c r="P40" s="147" t="s">
        <v>246</v>
      </c>
      <c r="Q40" s="148"/>
      <c r="R40" s="149" t="str">
        <f t="shared" ca="1" si="24"/>
        <v>(abra o arquivo 'Referência 05-2023.xls)</v>
      </c>
      <c r="S40" s="150" t="str">
        <f t="shared" ca="1" si="13"/>
        <v>-</v>
      </c>
      <c r="T40" s="151">
        <f ca="1">OFFSET(CÁLCULO!H$15,ROW($T40)-ROW(T$15),0)</f>
        <v>0</v>
      </c>
      <c r="U40" s="152"/>
      <c r="V40" s="153" t="s">
        <v>155</v>
      </c>
      <c r="W40" s="151">
        <f t="shared" ca="1" si="14"/>
        <v>0</v>
      </c>
      <c r="X40" s="154">
        <f t="shared" ca="1" si="15"/>
        <v>0</v>
      </c>
      <c r="Y40" s="155" t="s">
        <v>244</v>
      </c>
      <c r="Z40" t="str">
        <f t="shared" ca="1" si="16"/>
        <v/>
      </c>
      <c r="AA40" s="156">
        <f ca="1">IF($C40="S",IF($Z40="CP",$X40,IF($Z40="RA",(($X40)*QCI!$AA$3),0)),SomaAgrup)</f>
        <v>0</v>
      </c>
      <c r="AB40" s="157">
        <f t="shared" ca="1" si="17"/>
        <v>0</v>
      </c>
      <c r="AC40" s="158" t="str">
        <f t="shared" ca="1" si="18"/>
        <v/>
      </c>
      <c r="AD40" s="104" t="str">
        <f ca="1">IF(C40&lt;=CRONO.NivelExibicao,MAX($AD$15:OFFSET(AD40,-1,0))+IF($C40&lt;&gt;1,1,MAX(1,COUNTIF(QCI!$A$13:$A$24,OFFSET($E40,-1,0)))),"")</f>
        <v/>
      </c>
      <c r="AE40" s="114" t="b">
        <f t="shared" ca="1" si="19"/>
        <v>0</v>
      </c>
      <c r="AF40" s="159" t="str">
        <f t="shared" ca="1" si="20"/>
        <v>(abra o arquivo 'Referência 05-2023.xls)</v>
      </c>
      <c r="AG40" s="549">
        <f t="shared" ca="1" si="21"/>
        <v>0</v>
      </c>
      <c r="AH40" s="550">
        <f t="shared" ca="1" si="22"/>
        <v>0.25</v>
      </c>
      <c r="AJ40" s="552"/>
      <c r="AL40" s="573"/>
      <c r="AM40" s="430">
        <f t="shared" ca="1" si="0"/>
        <v>0</v>
      </c>
      <c r="AN40" s="616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2</v>
      </c>
      <c r="G41">
        <f t="shared" ca="1" si="6"/>
        <v>0</v>
      </c>
      <c r="H41">
        <f t="shared" ca="1" si="7"/>
        <v>0</v>
      </c>
      <c r="I41">
        <f t="shared" ca="1" si="8"/>
        <v>3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3" t="str">
        <f t="shared" ca="1" si="10"/>
        <v/>
      </c>
      <c r="M41" s="144" t="s">
        <v>198</v>
      </c>
      <c r="N41" s="145" t="str">
        <f t="shared" ca="1" si="11"/>
        <v>Serviço</v>
      </c>
      <c r="O41" s="146" t="str">
        <f t="shared" ca="1" si="12"/>
        <v>-</v>
      </c>
      <c r="P41" s="147" t="s">
        <v>246</v>
      </c>
      <c r="Q41" s="148"/>
      <c r="R41" s="149" t="str">
        <f t="shared" ca="1" si="24"/>
        <v>(abra o arquivo 'Referência 05-2023.xls)</v>
      </c>
      <c r="S41" s="150" t="str">
        <f t="shared" ca="1" si="13"/>
        <v>-</v>
      </c>
      <c r="T41" s="151">
        <f ca="1">OFFSET(CÁLCULO!H$15,ROW($T41)-ROW(T$15),0)</f>
        <v>0</v>
      </c>
      <c r="U41" s="152"/>
      <c r="V41" s="153" t="s">
        <v>155</v>
      </c>
      <c r="W41" s="151">
        <f t="shared" ca="1" si="14"/>
        <v>0</v>
      </c>
      <c r="X41" s="154">
        <f t="shared" ca="1" si="15"/>
        <v>0</v>
      </c>
      <c r="Y41" s="155" t="s">
        <v>244</v>
      </c>
      <c r="Z41" t="str">
        <f t="shared" ca="1" si="16"/>
        <v/>
      </c>
      <c r="AA41" s="156">
        <f ca="1">IF($C41="S",IF($Z41="CP",$X41,IF($Z41="RA",(($X41)*QCI!$AA$3),0)),SomaAgrup)</f>
        <v>0</v>
      </c>
      <c r="AB41" s="157">
        <f t="shared" ca="1" si="17"/>
        <v>0</v>
      </c>
      <c r="AC41" s="158" t="str">
        <f t="shared" ca="1" si="18"/>
        <v/>
      </c>
      <c r="AD41" s="104" t="str">
        <f ca="1">IF(C41&lt;=CRONO.NivelExibicao,MAX($AD$15:OFFSET(AD41,-1,0))+IF($C41&lt;&gt;1,1,MAX(1,COUNTIF(QCI!$A$13:$A$24,OFFSET($E41,-1,0)))),"")</f>
        <v/>
      </c>
      <c r="AE41" s="114" t="b">
        <f t="shared" ca="1" si="19"/>
        <v>0</v>
      </c>
      <c r="AF41" s="159" t="str">
        <f t="shared" ca="1" si="20"/>
        <v>(abra o arquivo 'Referência 05-2023.xls)</v>
      </c>
      <c r="AG41" s="549">
        <f t="shared" ca="1" si="21"/>
        <v>0</v>
      </c>
      <c r="AH41" s="550">
        <f t="shared" ca="1" si="22"/>
        <v>0.25</v>
      </c>
      <c r="AJ41" s="552"/>
      <c r="AL41" s="573"/>
      <c r="AM41" s="430">
        <f t="shared" ca="1" si="0"/>
        <v>0</v>
      </c>
      <c r="AN41" s="616">
        <f t="shared" ca="1" si="23"/>
        <v>0</v>
      </c>
    </row>
    <row r="42" spans="1:40" x14ac:dyDescent="0.2">
      <c r="A42">
        <f t="shared" si="1"/>
        <v>2</v>
      </c>
      <c r="B42">
        <f t="shared" ca="1" si="2"/>
        <v>2</v>
      </c>
      <c r="C42">
        <f t="shared" ca="1" si="3"/>
        <v>2</v>
      </c>
      <c r="D42">
        <f t="shared" ca="1" si="4"/>
        <v>10</v>
      </c>
      <c r="E42">
        <f ca="1">IF($C42=1,OFFSET(E42,-1,0)+MAX(1,COUNTIF(QCI!$A$13:$A$24,OFFSET(ORÇAMENTO!E42,-1,0))),OFFSET(E42,-1,0))</f>
        <v>1</v>
      </c>
      <c r="F42">
        <f t="shared" ca="1" si="5"/>
        <v>3</v>
      </c>
      <c r="G42">
        <f t="shared" ca="1" si="6"/>
        <v>0</v>
      </c>
      <c r="H42">
        <f t="shared" ca="1" si="7"/>
        <v>0</v>
      </c>
      <c r="I42">
        <f t="shared" ca="1" si="8"/>
        <v>0</v>
      </c>
      <c r="J42">
        <f t="shared" ca="1" si="9"/>
        <v>224</v>
      </c>
      <c r="K42">
        <f ca="1">IF(OR($C42="S",$C42=0),0,MATCH(OFFSET($D42,0,$C42)+IF($C42&lt;&gt;1,1,COUNTIF(QCI!$A$13:$A$24,ORÇAMENTO!E42)),OFFSET($D42,1,$C42,ROW($C$266)-ROW($C42)),0))</f>
        <v>10</v>
      </c>
      <c r="L42" s="143" t="str">
        <f t="shared" ca="1" si="10"/>
        <v>F</v>
      </c>
      <c r="M42" s="144" t="s">
        <v>195</v>
      </c>
      <c r="N42" s="145" t="str">
        <f t="shared" ca="1" si="11"/>
        <v>Nível 2</v>
      </c>
      <c r="O42" s="146" t="str">
        <f t="shared" ca="1" si="12"/>
        <v>1.3.</v>
      </c>
      <c r="P42" s="147" t="s">
        <v>246</v>
      </c>
      <c r="Q42" s="148"/>
      <c r="R42" s="149" t="s">
        <v>481</v>
      </c>
      <c r="S42" s="150" t="str">
        <f t="shared" ca="1" si="13"/>
        <v>-</v>
      </c>
      <c r="T42" s="151">
        <f ca="1">OFFSET(CÁLCULO!H$15,ROW($T42)-ROW(T$15),0)</f>
        <v>0</v>
      </c>
      <c r="U42" s="152"/>
      <c r="V42" s="153" t="s">
        <v>155</v>
      </c>
      <c r="W42" s="151">
        <f t="shared" ca="1" si="14"/>
        <v>0</v>
      </c>
      <c r="X42" s="154">
        <f t="shared" ca="1" si="15"/>
        <v>2180.5700000000002</v>
      </c>
      <c r="Y42" s="155" t="s">
        <v>244</v>
      </c>
      <c r="Z42" t="str">
        <f t="shared" ca="1" si="16"/>
        <v/>
      </c>
      <c r="AA42" s="156">
        <f ca="1">IF($C42="S",IF($Z42="CP",$X42,IF($Z42="RA",(($X42)*QCI!$AA$3),0)),SomaAgrup)</f>
        <v>2180.5699999999997</v>
      </c>
      <c r="AB42" s="157">
        <f t="shared" ca="1" si="17"/>
        <v>0</v>
      </c>
      <c r="AC42" s="158" t="str">
        <f t="shared" ca="1" si="18"/>
        <v/>
      </c>
      <c r="AD42" s="104">
        <f ca="1">IF(C42&lt;=CRONO.NivelExibicao,MAX($AD$15:OFFSET(AD42,-1,0))+IF($C42&lt;&gt;1,1,MAX(1,COUNTIF(QCI!$A$13:$A$24,OFFSET($E42,-1,0)))),"")</f>
        <v>4</v>
      </c>
      <c r="AE42" s="114" t="b">
        <f t="shared" ca="1" si="19"/>
        <v>0</v>
      </c>
      <c r="AF42" s="159" t="str">
        <f t="shared" ca="1" si="20"/>
        <v>(abra o arquivo 'Referência 05-2023.xls)</v>
      </c>
      <c r="AG42" s="549">
        <f t="shared" ca="1" si="21"/>
        <v>0</v>
      </c>
      <c r="AH42" s="550">
        <f t="shared" ca="1" si="22"/>
        <v>0.25</v>
      </c>
      <c r="AJ42" s="552"/>
      <c r="AL42" s="573"/>
      <c r="AM42" s="430">
        <f t="shared" ca="1" si="0"/>
        <v>2180.5700000000002</v>
      </c>
      <c r="AN42" s="616">
        <f t="shared" ca="1" si="23"/>
        <v>0</v>
      </c>
    </row>
    <row r="43" spans="1:40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3</v>
      </c>
      <c r="G43">
        <f t="shared" ca="1" si="6"/>
        <v>0</v>
      </c>
      <c r="H43">
        <f t="shared" ca="1" si="7"/>
        <v>0</v>
      </c>
      <c r="I43">
        <f t="shared" ca="1" si="8"/>
        <v>1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3" t="str">
        <f t="shared" ca="1" si="10"/>
        <v>F</v>
      </c>
      <c r="M43" s="144" t="s">
        <v>198</v>
      </c>
      <c r="N43" s="145" t="str">
        <f t="shared" ca="1" si="11"/>
        <v>Serviço</v>
      </c>
      <c r="O43" s="146" t="str">
        <f t="shared" ca="1" si="12"/>
        <v>1.3.1.</v>
      </c>
      <c r="P43" s="147" t="s">
        <v>246</v>
      </c>
      <c r="Q43" s="148" t="s">
        <v>464</v>
      </c>
      <c r="R43" s="149" t="str">
        <f ca="1">IF($C43="S",REFERENCIA.Descricao,"(digite a descrição aqui)")</f>
        <v>(abra o arquivo 'Referência 05-2023.xls)</v>
      </c>
      <c r="S43" s="150" t="str">
        <f t="shared" ca="1" si="13"/>
        <v>-</v>
      </c>
      <c r="T43" s="151">
        <f ca="1">OFFSET(CÁLCULO!H$15,ROW($T43)-ROW(T$15),0)</f>
        <v>2.85</v>
      </c>
      <c r="U43" s="152">
        <v>60.81</v>
      </c>
      <c r="V43" s="153" t="s">
        <v>155</v>
      </c>
      <c r="W43" s="151">
        <f t="shared" ca="1" si="14"/>
        <v>76.010000000000005</v>
      </c>
      <c r="X43" s="154">
        <f t="shared" ca="1" si="15"/>
        <v>216.63</v>
      </c>
      <c r="Y43" s="155" t="s">
        <v>244</v>
      </c>
      <c r="Z43" t="str">
        <f t="shared" ca="1" si="16"/>
        <v>RA</v>
      </c>
      <c r="AA43" s="156">
        <f ca="1">IF($C43="S",IF($Z43="CP",$X43,IF($Z43="RA",(($X43)*QCI!$AA$3),0)),SomaAgrup)</f>
        <v>216.63</v>
      </c>
      <c r="AB43" s="157">
        <f t="shared" ca="1" si="17"/>
        <v>0</v>
      </c>
      <c r="AC43" s="158" t="str">
        <f t="shared" ca="1" si="18"/>
        <v/>
      </c>
      <c r="AD43" s="104" t="str">
        <f ca="1">IF(C43&lt;=CRONO.NivelExibicao,MAX($AD$15:OFFSET(AD43,-1,0))+IF($C43&lt;&gt;1,1,MAX(1,COUNTIF(QCI!$A$13:$A$24,OFFSET($E43,-1,0)))),"")</f>
        <v/>
      </c>
      <c r="AE43" s="114" t="str">
        <f t="shared" ca="1" si="19"/>
        <v>SINAPI 103356</v>
      </c>
      <c r="AF43" s="159" t="str">
        <f t="shared" ca="1" si="20"/>
        <v>(abra o arquivo 'Referência 05-2023.xls)</v>
      </c>
      <c r="AG43" s="549">
        <f t="shared" ca="1" si="21"/>
        <v>0</v>
      </c>
      <c r="AH43" s="550">
        <f t="shared" ca="1" si="22"/>
        <v>0.25</v>
      </c>
      <c r="AJ43" s="552">
        <v>2.85</v>
      </c>
      <c r="AL43" s="573"/>
      <c r="AM43" s="430">
        <f t="shared" ca="1" si="0"/>
        <v>216.63</v>
      </c>
      <c r="AN43" s="616">
        <f t="shared" ca="1" si="23"/>
        <v>76.010000000000005</v>
      </c>
    </row>
    <row r="44" spans="1:40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3</v>
      </c>
      <c r="G44">
        <f t="shared" ca="1" si="6"/>
        <v>0</v>
      </c>
      <c r="H44">
        <f t="shared" ca="1" si="7"/>
        <v>0</v>
      </c>
      <c r="I44">
        <f t="shared" ca="1" si="8"/>
        <v>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3" t="str">
        <f t="shared" ca="1" si="10"/>
        <v>F</v>
      </c>
      <c r="M44" s="144" t="s">
        <v>198</v>
      </c>
      <c r="N44" s="145" t="str">
        <f t="shared" ca="1" si="11"/>
        <v>Serviço</v>
      </c>
      <c r="O44" s="146" t="str">
        <f t="shared" ca="1" si="12"/>
        <v>1.3.2.</v>
      </c>
      <c r="P44" s="147" t="s">
        <v>246</v>
      </c>
      <c r="Q44" s="148" t="s">
        <v>466</v>
      </c>
      <c r="R44" s="149" t="str">
        <f t="shared" ca="1" si="24"/>
        <v>(abra o arquivo 'Referência 05-2023.xls)</v>
      </c>
      <c r="S44" s="150" t="str">
        <f t="shared" ca="1" si="13"/>
        <v>-</v>
      </c>
      <c r="T44" s="151">
        <f ca="1">OFFSET(CÁLCULO!H$15,ROW($T44)-ROW(T$15),0)</f>
        <v>5.7</v>
      </c>
      <c r="U44" s="152">
        <v>5.32</v>
      </c>
      <c r="V44" s="153" t="s">
        <v>155</v>
      </c>
      <c r="W44" s="151">
        <f t="shared" ca="1" si="14"/>
        <v>6.65</v>
      </c>
      <c r="X44" s="154">
        <f t="shared" ca="1" si="15"/>
        <v>37.909999999999997</v>
      </c>
      <c r="Y44" s="155" t="s">
        <v>244</v>
      </c>
      <c r="Z44" t="str">
        <f t="shared" ca="1" si="16"/>
        <v>RA</v>
      </c>
      <c r="AA44" s="156">
        <f ca="1">IF($C44="S",IF($Z44="CP",$X44,IF($Z44="RA",(($X44)*QCI!$AA$3),0)),SomaAgrup)</f>
        <v>37.909999999999997</v>
      </c>
      <c r="AB44" s="157">
        <f t="shared" ca="1" si="17"/>
        <v>0</v>
      </c>
      <c r="AC44" s="158" t="str">
        <f t="shared" ca="1" si="18"/>
        <v/>
      </c>
      <c r="AD44" s="104" t="str">
        <f ca="1">IF(C44&lt;=CRONO.NivelExibicao,MAX($AD$15:OFFSET(AD44,-1,0))+IF($C44&lt;&gt;1,1,MAX(1,COUNTIF(QCI!$A$13:$A$24,OFFSET($E44,-1,0)))),"")</f>
        <v/>
      </c>
      <c r="AE44" s="114" t="str">
        <f t="shared" ca="1" si="19"/>
        <v>SINAPI 87878</v>
      </c>
      <c r="AF44" s="159" t="str">
        <f t="shared" ca="1" si="20"/>
        <v>(abra o arquivo 'Referência 05-2023.xls)</v>
      </c>
      <c r="AG44" s="549">
        <f t="shared" ca="1" si="21"/>
        <v>0</v>
      </c>
      <c r="AH44" s="550">
        <f t="shared" ca="1" si="22"/>
        <v>0.25</v>
      </c>
      <c r="AJ44" s="552">
        <v>5.7</v>
      </c>
      <c r="AL44" s="573"/>
      <c r="AM44" s="430">
        <f t="shared" ca="1" si="0"/>
        <v>37.909999999999997</v>
      </c>
      <c r="AN44" s="616">
        <f t="shared" ca="1" si="23"/>
        <v>6.65</v>
      </c>
    </row>
    <row r="45" spans="1:40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3</v>
      </c>
      <c r="G45">
        <f t="shared" ca="1" si="6"/>
        <v>0</v>
      </c>
      <c r="H45">
        <f t="shared" ca="1" si="7"/>
        <v>0</v>
      </c>
      <c r="I45">
        <f t="shared" ca="1" si="8"/>
        <v>3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3" t="str">
        <f t="shared" ca="1" si="10"/>
        <v>F</v>
      </c>
      <c r="M45" s="144" t="s">
        <v>198</v>
      </c>
      <c r="N45" s="145" t="str">
        <f t="shared" ca="1" si="11"/>
        <v>Serviço</v>
      </c>
      <c r="O45" s="146" t="str">
        <f t="shared" ca="1" si="12"/>
        <v>1.3.3.</v>
      </c>
      <c r="P45" s="147" t="s">
        <v>246</v>
      </c>
      <c r="Q45" s="148" t="s">
        <v>467</v>
      </c>
      <c r="R45" s="149" t="str">
        <f t="shared" ca="1" si="24"/>
        <v>(abra o arquivo 'Referência 05-2023.xls)</v>
      </c>
      <c r="S45" s="150" t="str">
        <f t="shared" ca="1" si="13"/>
        <v>-</v>
      </c>
      <c r="T45" s="151">
        <f ca="1">OFFSET(CÁLCULO!H$15,ROW($T45)-ROW(T$15),0)</f>
        <v>5.7</v>
      </c>
      <c r="U45" s="152">
        <v>25.51</v>
      </c>
      <c r="V45" s="153" t="s">
        <v>155</v>
      </c>
      <c r="W45" s="151">
        <f t="shared" ca="1" si="14"/>
        <v>31.89</v>
      </c>
      <c r="X45" s="154">
        <f t="shared" ca="1" si="15"/>
        <v>181.77</v>
      </c>
      <c r="Y45" s="155" t="s">
        <v>244</v>
      </c>
      <c r="Z45" t="str">
        <f t="shared" ca="1" si="16"/>
        <v>RA</v>
      </c>
      <c r="AA45" s="156">
        <f ca="1">IF($C45="S",IF($Z45="CP",$X45,IF($Z45="RA",(($X45)*QCI!$AA$3),0)),SomaAgrup)</f>
        <v>181.77</v>
      </c>
      <c r="AB45" s="157">
        <f t="shared" ca="1" si="17"/>
        <v>0</v>
      </c>
      <c r="AC45" s="158" t="str">
        <f t="shared" ca="1" si="18"/>
        <v/>
      </c>
      <c r="AD45" s="104" t="str">
        <f ca="1">IF(C45&lt;=CRONO.NivelExibicao,MAX($AD$15:OFFSET(AD45,-1,0))+IF($C45&lt;&gt;1,1,MAX(1,COUNTIF(QCI!$A$13:$A$24,OFFSET($E45,-1,0)))),"")</f>
        <v/>
      </c>
      <c r="AE45" s="114" t="str">
        <f t="shared" ca="1" si="19"/>
        <v>SINAPI 87547</v>
      </c>
      <c r="AF45" s="159" t="str">
        <f t="shared" ca="1" si="20"/>
        <v>(abra o arquivo 'Referência 05-2023.xls)</v>
      </c>
      <c r="AG45" s="549">
        <f t="shared" ca="1" si="21"/>
        <v>0</v>
      </c>
      <c r="AH45" s="550">
        <f t="shared" ca="1" si="22"/>
        <v>0.25</v>
      </c>
      <c r="AJ45" s="552">
        <v>5.7</v>
      </c>
      <c r="AL45" s="573"/>
      <c r="AM45" s="430">
        <f t="shared" ca="1" si="0"/>
        <v>181.77</v>
      </c>
      <c r="AN45" s="616">
        <f t="shared" ca="1" si="23"/>
        <v>31.89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3</v>
      </c>
      <c r="G46">
        <f t="shared" ca="1" si="6"/>
        <v>0</v>
      </c>
      <c r="H46">
        <f t="shared" ca="1" si="7"/>
        <v>0</v>
      </c>
      <c r="I46">
        <f t="shared" ca="1" si="8"/>
        <v>3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3" t="str">
        <f t="shared" ca="1" si="10"/>
        <v/>
      </c>
      <c r="M46" s="144" t="s">
        <v>198</v>
      </c>
      <c r="N46" s="145" t="str">
        <f t="shared" ca="1" si="11"/>
        <v>Serviço</v>
      </c>
      <c r="O46" s="146" t="str">
        <f t="shared" ca="1" si="12"/>
        <v>-</v>
      </c>
      <c r="P46" s="147" t="s">
        <v>246</v>
      </c>
      <c r="Q46" s="148"/>
      <c r="R46" s="149" t="str">
        <f t="shared" ca="1" si="24"/>
        <v>(abra o arquivo 'Referência 05-2023.xls)</v>
      </c>
      <c r="S46" s="150" t="str">
        <f t="shared" ca="1" si="13"/>
        <v>-</v>
      </c>
      <c r="T46" s="151">
        <f ca="1">OFFSET(CÁLCULO!H$15,ROW($T46)-ROW(T$15),0)</f>
        <v>0</v>
      </c>
      <c r="U46" s="152"/>
      <c r="V46" s="153" t="s">
        <v>155</v>
      </c>
      <c r="W46" s="151">
        <f t="shared" ca="1" si="14"/>
        <v>0</v>
      </c>
      <c r="X46" s="154">
        <f t="shared" ca="1" si="15"/>
        <v>0</v>
      </c>
      <c r="Y46" s="155" t="s">
        <v>244</v>
      </c>
      <c r="Z46" t="str">
        <f t="shared" ca="1" si="16"/>
        <v/>
      </c>
      <c r="AA46" s="156">
        <f ca="1">IF($C46="S",IF($Z46="CP",$X46,IF($Z46="RA",(($X46)*QCI!$AA$3),0)),SomaAgrup)</f>
        <v>0</v>
      </c>
      <c r="AB46" s="157">
        <f t="shared" ca="1" si="17"/>
        <v>0</v>
      </c>
      <c r="AC46" s="158" t="str">
        <f t="shared" ca="1" si="18"/>
        <v/>
      </c>
      <c r="AD46" s="104" t="str">
        <f ca="1">IF(C46&lt;=CRONO.NivelExibicao,MAX($AD$15:OFFSET(AD46,-1,0))+IF($C46&lt;&gt;1,1,MAX(1,COUNTIF(QCI!$A$13:$A$24,OFFSET($E46,-1,0)))),"")</f>
        <v/>
      </c>
      <c r="AE46" s="114" t="b">
        <f t="shared" ca="1" si="19"/>
        <v>0</v>
      </c>
      <c r="AF46" s="159" t="str">
        <f t="shared" ca="1" si="20"/>
        <v>(abra o arquivo 'Referência 05-2023.xls)</v>
      </c>
      <c r="AG46" s="549">
        <f t="shared" ca="1" si="21"/>
        <v>0</v>
      </c>
      <c r="AH46" s="550">
        <f t="shared" ca="1" si="22"/>
        <v>0.25</v>
      </c>
      <c r="AJ46" s="552"/>
      <c r="AL46" s="573"/>
      <c r="AM46" s="430">
        <f t="shared" ca="1" si="0"/>
        <v>0</v>
      </c>
      <c r="AN46" s="616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3</v>
      </c>
      <c r="G47">
        <f t="shared" ca="1" si="6"/>
        <v>0</v>
      </c>
      <c r="H47">
        <f t="shared" ca="1" si="7"/>
        <v>0</v>
      </c>
      <c r="I47">
        <f t="shared" ca="1" si="8"/>
        <v>3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3" t="str">
        <f t="shared" ca="1" si="10"/>
        <v/>
      </c>
      <c r="M47" s="144" t="s">
        <v>198</v>
      </c>
      <c r="N47" s="145" t="str">
        <f t="shared" ca="1" si="11"/>
        <v>Serviço</v>
      </c>
      <c r="O47" s="146" t="str">
        <f t="shared" ca="1" si="12"/>
        <v>-</v>
      </c>
      <c r="P47" s="147" t="s">
        <v>246</v>
      </c>
      <c r="Q47" s="148"/>
      <c r="R47" s="149" t="str">
        <f t="shared" ca="1" si="24"/>
        <v>(abra o arquivo 'Referência 05-2023.xls)</v>
      </c>
      <c r="S47" s="150" t="str">
        <f t="shared" ca="1" si="13"/>
        <v>-</v>
      </c>
      <c r="T47" s="151">
        <f ca="1">OFFSET(CÁLCULO!H$15,ROW($T47)-ROW(T$15),0)</f>
        <v>0</v>
      </c>
      <c r="U47" s="152"/>
      <c r="V47" s="153" t="s">
        <v>155</v>
      </c>
      <c r="W47" s="151">
        <f t="shared" ca="1" si="14"/>
        <v>0</v>
      </c>
      <c r="X47" s="154">
        <f t="shared" ca="1" si="15"/>
        <v>0</v>
      </c>
      <c r="Y47" s="155" t="s">
        <v>244</v>
      </c>
      <c r="Z47" t="str">
        <f t="shared" ca="1" si="16"/>
        <v/>
      </c>
      <c r="AA47" s="156">
        <f ca="1">IF($C47="S",IF($Z47="CP",$X47,IF($Z47="RA",(($X47)*QCI!$AA$3),0)),SomaAgrup)</f>
        <v>0</v>
      </c>
      <c r="AB47" s="157">
        <f t="shared" ca="1" si="17"/>
        <v>0</v>
      </c>
      <c r="AC47" s="158" t="str">
        <f t="shared" ca="1" si="18"/>
        <v/>
      </c>
      <c r="AD47" s="104" t="str">
        <f ca="1">IF(C47&lt;=CRONO.NivelExibicao,MAX($AD$15:OFFSET(AD47,-1,0))+IF($C47&lt;&gt;1,1,MAX(1,COUNTIF(QCI!$A$13:$A$24,OFFSET($E47,-1,0)))),"")</f>
        <v/>
      </c>
      <c r="AE47" s="114" t="b">
        <f t="shared" ca="1" si="19"/>
        <v>0</v>
      </c>
      <c r="AF47" s="159" t="str">
        <f t="shared" ca="1" si="20"/>
        <v>(abra o arquivo 'Referência 05-2023.xls)</v>
      </c>
      <c r="AG47" s="549">
        <f t="shared" ca="1" si="21"/>
        <v>0</v>
      </c>
      <c r="AH47" s="550">
        <f t="shared" ca="1" si="22"/>
        <v>0.25</v>
      </c>
      <c r="AJ47" s="552"/>
      <c r="AL47" s="573"/>
      <c r="AM47" s="430">
        <f t="shared" ca="1" si="0"/>
        <v>0</v>
      </c>
      <c r="AN47" s="616">
        <f t="shared" ca="1" si="23"/>
        <v>0</v>
      </c>
    </row>
    <row r="48" spans="1:40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3</v>
      </c>
      <c r="G48">
        <f t="shared" ca="1" si="6"/>
        <v>0</v>
      </c>
      <c r="H48">
        <f t="shared" ca="1" si="7"/>
        <v>0</v>
      </c>
      <c r="I48">
        <f t="shared" ca="1" si="8"/>
        <v>4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3" t="str">
        <f t="shared" ca="1" si="10"/>
        <v>F</v>
      </c>
      <c r="M48" s="144" t="s">
        <v>198</v>
      </c>
      <c r="N48" s="145" t="str">
        <f t="shared" ca="1" si="11"/>
        <v>Serviço</v>
      </c>
      <c r="O48" s="146" t="str">
        <f t="shared" ca="1" si="12"/>
        <v>1.3.4.</v>
      </c>
      <c r="P48" s="147" t="s">
        <v>246</v>
      </c>
      <c r="Q48" s="148" t="s">
        <v>472</v>
      </c>
      <c r="R48" s="149" t="str">
        <f t="shared" ca="1" si="24"/>
        <v>(abra o arquivo 'Referência 05-2023.xls)</v>
      </c>
      <c r="S48" s="150" t="str">
        <f t="shared" ca="1" si="13"/>
        <v>-</v>
      </c>
      <c r="T48" s="151">
        <f ca="1">OFFSET(CÁLCULO!H$15,ROW($T48)-ROW(T$15),0)</f>
        <v>6</v>
      </c>
      <c r="U48" s="152">
        <v>109.73</v>
      </c>
      <c r="V48" s="153" t="s">
        <v>155</v>
      </c>
      <c r="W48" s="151">
        <f t="shared" ca="1" si="14"/>
        <v>137.16</v>
      </c>
      <c r="X48" s="154">
        <f t="shared" ca="1" si="15"/>
        <v>822.96</v>
      </c>
      <c r="Y48" s="155" t="s">
        <v>244</v>
      </c>
      <c r="Z48" t="str">
        <f t="shared" ca="1" si="16"/>
        <v>RA</v>
      </c>
      <c r="AA48" s="156">
        <f ca="1">IF($C48="S",IF($Z48="CP",$X48,IF($Z48="RA",(($X48)*QCI!$AA$3),0)),SomaAgrup)</f>
        <v>822.96</v>
      </c>
      <c r="AB48" s="157">
        <f t="shared" ca="1" si="17"/>
        <v>0</v>
      </c>
      <c r="AC48" s="158" t="str">
        <f t="shared" ca="1" si="18"/>
        <v/>
      </c>
      <c r="AD48" s="104" t="str">
        <f ca="1">IF(C48&lt;=CRONO.NivelExibicao,MAX($AD$15:OFFSET(AD48,-1,0))+IF($C48&lt;&gt;1,1,MAX(1,COUNTIF(QCI!$A$13:$A$24,OFFSET($E48,-1,0)))),"")</f>
        <v/>
      </c>
      <c r="AE48" s="114" t="str">
        <f t="shared" ca="1" si="19"/>
        <v>SINAPI 93196</v>
      </c>
      <c r="AF48" s="159" t="str">
        <f t="shared" ca="1" si="20"/>
        <v>(abra o arquivo 'Referência 05-2023.xls)</v>
      </c>
      <c r="AG48" s="549">
        <f t="shared" ca="1" si="21"/>
        <v>0</v>
      </c>
      <c r="AH48" s="550">
        <f t="shared" ca="1" si="22"/>
        <v>0.25</v>
      </c>
      <c r="AJ48" s="552">
        <v>6</v>
      </c>
      <c r="AL48" s="573"/>
      <c r="AM48" s="430">
        <f t="shared" ca="1" si="0"/>
        <v>822.96</v>
      </c>
      <c r="AN48" s="616">
        <f t="shared" ca="1" si="23"/>
        <v>137.16</v>
      </c>
    </row>
    <row r="49" spans="1:40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3</v>
      </c>
      <c r="G49">
        <f t="shared" ca="1" si="6"/>
        <v>0</v>
      </c>
      <c r="H49">
        <f t="shared" ca="1" si="7"/>
        <v>0</v>
      </c>
      <c r="I49">
        <f t="shared" ca="1" si="8"/>
        <v>5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3" t="str">
        <f t="shared" ca="1" si="10"/>
        <v>F</v>
      </c>
      <c r="M49" s="144" t="s">
        <v>198</v>
      </c>
      <c r="N49" s="145" t="str">
        <f t="shared" ca="1" si="11"/>
        <v>Serviço</v>
      </c>
      <c r="O49" s="146" t="str">
        <f t="shared" ca="1" si="12"/>
        <v>1.3.5.</v>
      </c>
      <c r="P49" s="147" t="s">
        <v>246</v>
      </c>
      <c r="Q49" s="148" t="s">
        <v>473</v>
      </c>
      <c r="R49" s="149" t="str">
        <f t="shared" ca="1" si="24"/>
        <v>(abra o arquivo 'Referência 05-2023.xls)</v>
      </c>
      <c r="S49" s="150" t="str">
        <f t="shared" ca="1" si="13"/>
        <v>-</v>
      </c>
      <c r="T49" s="151">
        <f ca="1">OFFSET(CÁLCULO!H$15,ROW($T49)-ROW(T$15),0)</f>
        <v>6</v>
      </c>
      <c r="U49" s="152">
        <v>122.84</v>
      </c>
      <c r="V49" s="153" t="s">
        <v>155</v>
      </c>
      <c r="W49" s="151">
        <f t="shared" ca="1" si="14"/>
        <v>153.55000000000001</v>
      </c>
      <c r="X49" s="154">
        <f t="shared" ca="1" si="15"/>
        <v>921.3</v>
      </c>
      <c r="Y49" s="155" t="s">
        <v>244</v>
      </c>
      <c r="Z49" t="str">
        <f t="shared" ca="1" si="16"/>
        <v>RA</v>
      </c>
      <c r="AA49" s="156">
        <f ca="1">IF($C49="S",IF($Z49="CP",$X49,IF($Z49="RA",(($X49)*QCI!$AA$3),0)),SomaAgrup)</f>
        <v>921.3</v>
      </c>
      <c r="AB49" s="157">
        <f t="shared" ca="1" si="17"/>
        <v>0</v>
      </c>
      <c r="AC49" s="158" t="str">
        <f t="shared" ca="1" si="18"/>
        <v/>
      </c>
      <c r="AD49" s="104" t="str">
        <f ca="1">IF(C49&lt;=CRONO.NivelExibicao,MAX($AD$15:OFFSET(AD49,-1,0))+IF($C49&lt;&gt;1,1,MAX(1,COUNTIF(QCI!$A$13:$A$24,OFFSET($E49,-1,0)))),"")</f>
        <v/>
      </c>
      <c r="AE49" s="114" t="str">
        <f t="shared" ca="1" si="19"/>
        <v>SINAPI 93197</v>
      </c>
      <c r="AF49" s="159" t="str">
        <f t="shared" ca="1" si="20"/>
        <v>(abra o arquivo 'Referência 05-2023.xls)</v>
      </c>
      <c r="AG49" s="549">
        <f t="shared" ca="1" si="21"/>
        <v>0</v>
      </c>
      <c r="AH49" s="550">
        <f t="shared" ca="1" si="22"/>
        <v>0.25</v>
      </c>
      <c r="AJ49" s="552">
        <v>6</v>
      </c>
      <c r="AL49" s="573"/>
      <c r="AM49" s="430">
        <f t="shared" ca="1" si="0"/>
        <v>921.3</v>
      </c>
      <c r="AN49" s="616">
        <f t="shared" ca="1" si="23"/>
        <v>153.55000000000001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3</v>
      </c>
      <c r="G50">
        <f t="shared" ca="1" si="6"/>
        <v>0</v>
      </c>
      <c r="H50">
        <f t="shared" ca="1" si="7"/>
        <v>0</v>
      </c>
      <c r="I50">
        <f t="shared" ca="1" si="8"/>
        <v>5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3" t="str">
        <f t="shared" ca="1" si="10"/>
        <v/>
      </c>
      <c r="M50" s="144" t="s">
        <v>198</v>
      </c>
      <c r="N50" s="145" t="str">
        <f t="shared" ca="1" si="11"/>
        <v>Serviço</v>
      </c>
      <c r="O50" s="146" t="str">
        <f t="shared" ca="1" si="12"/>
        <v>-</v>
      </c>
      <c r="P50" s="147" t="s">
        <v>246</v>
      </c>
      <c r="Q50" s="148"/>
      <c r="R50" s="149" t="str">
        <f t="shared" ca="1" si="24"/>
        <v>(abra o arquivo 'Referência 05-2023.xls)</v>
      </c>
      <c r="S50" s="150" t="str">
        <f t="shared" ca="1" si="13"/>
        <v>-</v>
      </c>
      <c r="T50" s="151">
        <f ca="1">OFFSET(CÁLCULO!H$15,ROW($T50)-ROW(T$15),0)</f>
        <v>0</v>
      </c>
      <c r="U50" s="152"/>
      <c r="V50" s="153" t="s">
        <v>155</v>
      </c>
      <c r="W50" s="151">
        <f t="shared" ca="1" si="14"/>
        <v>0</v>
      </c>
      <c r="X50" s="154">
        <f t="shared" ca="1" si="15"/>
        <v>0</v>
      </c>
      <c r="Y50" s="155" t="s">
        <v>244</v>
      </c>
      <c r="Z50" t="str">
        <f t="shared" ca="1" si="16"/>
        <v/>
      </c>
      <c r="AA50" s="156">
        <f ca="1">IF($C50="S",IF($Z50="CP",$X50,IF($Z50="RA",(($X50)*QCI!$AA$3),0)),SomaAgrup)</f>
        <v>0</v>
      </c>
      <c r="AB50" s="157">
        <f t="shared" ca="1" si="17"/>
        <v>0</v>
      </c>
      <c r="AC50" s="158" t="str">
        <f t="shared" ca="1" si="18"/>
        <v/>
      </c>
      <c r="AD50" s="104" t="str">
        <f ca="1">IF(C50&lt;=CRONO.NivelExibicao,MAX($AD$15:OFFSET(AD50,-1,0))+IF($C50&lt;&gt;1,1,MAX(1,COUNTIF(QCI!$A$13:$A$24,OFFSET($E50,-1,0)))),"")</f>
        <v/>
      </c>
      <c r="AE50" s="114" t="b">
        <f t="shared" ca="1" si="19"/>
        <v>0</v>
      </c>
      <c r="AF50" s="159" t="str">
        <f t="shared" ca="1" si="20"/>
        <v>(abra o arquivo 'Referência 05-2023.xls)</v>
      </c>
      <c r="AG50" s="549">
        <f t="shared" ca="1" si="21"/>
        <v>0</v>
      </c>
      <c r="AH50" s="550">
        <f t="shared" ca="1" si="22"/>
        <v>0.25</v>
      </c>
      <c r="AJ50" s="552"/>
      <c r="AL50" s="573"/>
      <c r="AM50" s="430">
        <f t="shared" ca="1" si="0"/>
        <v>0</v>
      </c>
      <c r="AN50" s="616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3</v>
      </c>
      <c r="G51">
        <f t="shared" ca="1" si="6"/>
        <v>0</v>
      </c>
      <c r="H51">
        <f t="shared" ca="1" si="7"/>
        <v>0</v>
      </c>
      <c r="I51">
        <f t="shared" ca="1" si="8"/>
        <v>5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3" t="str">
        <f t="shared" ca="1" si="10"/>
        <v/>
      </c>
      <c r="M51" s="144" t="s">
        <v>198</v>
      </c>
      <c r="N51" s="145" t="str">
        <f t="shared" ca="1" si="11"/>
        <v>Serviço</v>
      </c>
      <c r="O51" s="146" t="str">
        <f t="shared" ca="1" si="12"/>
        <v>-</v>
      </c>
      <c r="P51" s="147" t="s">
        <v>246</v>
      </c>
      <c r="Q51" s="148"/>
      <c r="R51" s="149" t="str">
        <f t="shared" ca="1" si="24"/>
        <v>(abra o arquivo 'Referência 05-2023.xls)</v>
      </c>
      <c r="S51" s="150" t="str">
        <f t="shared" ca="1" si="13"/>
        <v>-</v>
      </c>
      <c r="T51" s="151">
        <f ca="1">OFFSET(CÁLCULO!H$15,ROW($T51)-ROW(T$15),0)</f>
        <v>0</v>
      </c>
      <c r="U51" s="152"/>
      <c r="V51" s="153" t="s">
        <v>155</v>
      </c>
      <c r="W51" s="151">
        <f t="shared" ca="1" si="14"/>
        <v>0</v>
      </c>
      <c r="X51" s="154">
        <f t="shared" ca="1" si="15"/>
        <v>0</v>
      </c>
      <c r="Y51" s="155" t="s">
        <v>244</v>
      </c>
      <c r="Z51" t="str">
        <f t="shared" ca="1" si="16"/>
        <v/>
      </c>
      <c r="AA51" s="156">
        <f ca="1">IF($C51="S",IF($Z51="CP",$X51,IF($Z51="RA",(($X51)*QCI!$AA$3),0)),SomaAgrup)</f>
        <v>0</v>
      </c>
      <c r="AB51" s="157">
        <f t="shared" ca="1" si="17"/>
        <v>0</v>
      </c>
      <c r="AC51" s="158" t="str">
        <f t="shared" ca="1" si="18"/>
        <v/>
      </c>
      <c r="AD51" s="104" t="str">
        <f ca="1">IF(C51&lt;=CRONO.NivelExibicao,MAX($AD$15:OFFSET(AD51,-1,0))+IF($C51&lt;&gt;1,1,MAX(1,COUNTIF(QCI!$A$13:$A$24,OFFSET($E51,-1,0)))),"")</f>
        <v/>
      </c>
      <c r="AE51" s="114" t="b">
        <f t="shared" ca="1" si="19"/>
        <v>0</v>
      </c>
      <c r="AF51" s="159" t="str">
        <f t="shared" ca="1" si="20"/>
        <v>(abra o arquivo 'Referência 05-2023.xls)</v>
      </c>
      <c r="AG51" s="549">
        <f t="shared" ca="1" si="21"/>
        <v>0</v>
      </c>
      <c r="AH51" s="550">
        <f t="shared" ca="1" si="22"/>
        <v>0.25</v>
      </c>
      <c r="AJ51" s="552"/>
      <c r="AL51" s="573"/>
      <c r="AM51" s="430">
        <f t="shared" ca="1" si="0"/>
        <v>0</v>
      </c>
      <c r="AN51" s="616">
        <f t="shared" ca="1" si="23"/>
        <v>0</v>
      </c>
    </row>
    <row r="52" spans="1:40" x14ac:dyDescent="0.2">
      <c r="A52">
        <f t="shared" si="1"/>
        <v>2</v>
      </c>
      <c r="B52">
        <f t="shared" ca="1" si="2"/>
        <v>2</v>
      </c>
      <c r="C52">
        <f t="shared" ca="1" si="3"/>
        <v>2</v>
      </c>
      <c r="D52">
        <f t="shared" ca="1" si="4"/>
        <v>214</v>
      </c>
      <c r="E52">
        <f ca="1">IF($C52=1,OFFSET(E52,-1,0)+MAX(1,COUNTIF(QCI!$A$13:$A$24,OFFSET(ORÇAMENTO!E52,-1,0))),OFFSET(E52,-1,0))</f>
        <v>1</v>
      </c>
      <c r="F52">
        <f t="shared" ca="1" si="5"/>
        <v>4</v>
      </c>
      <c r="G52">
        <f t="shared" ca="1" si="6"/>
        <v>0</v>
      </c>
      <c r="H52">
        <f t="shared" ca="1" si="7"/>
        <v>0</v>
      </c>
      <c r="I52">
        <f t="shared" ca="1" si="8"/>
        <v>0</v>
      </c>
      <c r="J52">
        <f t="shared" ca="1" si="9"/>
        <v>214</v>
      </c>
      <c r="K52" t="e">
        <f ca="1">IF(OR($C52="S",$C52=0),0,MATCH(OFFSET($D52,0,$C52)+IF($C52&lt;&gt;1,1,COUNTIF(QCI!$A$13:$A$24,ORÇAMENTO!E52)),OFFSET($D52,1,$C52,ROW($C$266)-ROW($C52)),0))</f>
        <v>#N/A</v>
      </c>
      <c r="L52" s="143" t="str">
        <f t="shared" ca="1" si="10"/>
        <v>F</v>
      </c>
      <c r="M52" s="144" t="s">
        <v>195</v>
      </c>
      <c r="N52" s="145" t="str">
        <f t="shared" ca="1" si="11"/>
        <v>Nível 2</v>
      </c>
      <c r="O52" s="146" t="str">
        <f t="shared" ca="1" si="12"/>
        <v>1.4.</v>
      </c>
      <c r="P52" s="147" t="s">
        <v>246</v>
      </c>
      <c r="Q52" s="148"/>
      <c r="R52" s="149" t="s">
        <v>480</v>
      </c>
      <c r="S52" s="150" t="str">
        <f t="shared" ca="1" si="13"/>
        <v>-</v>
      </c>
      <c r="T52" s="151">
        <f ca="1">OFFSET(CÁLCULO!H$15,ROW($T52)-ROW(T$15),0)</f>
        <v>0</v>
      </c>
      <c r="U52" s="152"/>
      <c r="V52" s="153" t="s">
        <v>155</v>
      </c>
      <c r="W52" s="151">
        <f t="shared" ca="1" si="14"/>
        <v>0</v>
      </c>
      <c r="X52" s="154">
        <f t="shared" ca="1" si="15"/>
        <v>19631.05</v>
      </c>
      <c r="Y52" s="155" t="s">
        <v>244</v>
      </c>
      <c r="Z52" t="str">
        <f t="shared" ca="1" si="16"/>
        <v/>
      </c>
      <c r="AA52" s="156">
        <f ca="1">IF($C52="S",IF($Z52="CP",$X52,IF($Z52="RA",(($X52)*QCI!$AA$3),0)),SomaAgrup)</f>
        <v>19631.05</v>
      </c>
      <c r="AB52" s="157">
        <f t="shared" ca="1" si="17"/>
        <v>0</v>
      </c>
      <c r="AC52" s="158" t="str">
        <f t="shared" ca="1" si="18"/>
        <v/>
      </c>
      <c r="AD52" s="104">
        <f ca="1">IF(C52&lt;=CRONO.NivelExibicao,MAX($AD$15:OFFSET(AD52,-1,0))+IF($C52&lt;&gt;1,1,MAX(1,COUNTIF(QCI!$A$13:$A$24,OFFSET($E52,-1,0)))),"")</f>
        <v>5</v>
      </c>
      <c r="AE52" s="114" t="b">
        <f t="shared" ca="1" si="19"/>
        <v>0</v>
      </c>
      <c r="AF52" s="159" t="str">
        <f t="shared" ca="1" si="20"/>
        <v>(abra o arquivo 'Referência 05-2023.xls)</v>
      </c>
      <c r="AG52" s="549">
        <f t="shared" ca="1" si="21"/>
        <v>0</v>
      </c>
      <c r="AH52" s="550">
        <f t="shared" ca="1" si="22"/>
        <v>0.25</v>
      </c>
      <c r="AJ52" s="552"/>
      <c r="AL52" s="573"/>
      <c r="AM52" s="430">
        <f t="shared" ca="1" si="0"/>
        <v>19631.05</v>
      </c>
      <c r="AN52" s="616">
        <f t="shared" ca="1" si="23"/>
        <v>0</v>
      </c>
    </row>
    <row r="53" spans="1:40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4</v>
      </c>
      <c r="G53">
        <f t="shared" ca="1" si="6"/>
        <v>0</v>
      </c>
      <c r="H53">
        <f t="shared" ca="1" si="7"/>
        <v>0</v>
      </c>
      <c r="I53">
        <f t="shared" ca="1" si="8"/>
        <v>0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3" t="str">
        <f t="shared" ca="1" si="10"/>
        <v/>
      </c>
      <c r="M53" s="144" t="s">
        <v>198</v>
      </c>
      <c r="N53" s="145" t="str">
        <f t="shared" ca="1" si="11"/>
        <v>Serviço</v>
      </c>
      <c r="O53" s="146" t="str">
        <f t="shared" ca="1" si="12"/>
        <v>-</v>
      </c>
      <c r="P53" s="147" t="s">
        <v>246</v>
      </c>
      <c r="Q53" s="148" t="s">
        <v>468</v>
      </c>
      <c r="R53" s="149" t="str">
        <f ca="1">IF($C53="S",REFERENCIA.Descricao,"(digite a descrição aqui)")</f>
        <v>(abra o arquivo 'Referência 05-2023.xls)</v>
      </c>
      <c r="S53" s="150" t="str">
        <f t="shared" ca="1" si="13"/>
        <v>-</v>
      </c>
      <c r="T53" s="151">
        <f ca="1">OFFSET(CÁLCULO!H$15,ROW($T53)-ROW(T$15),0)</f>
        <v>420</v>
      </c>
      <c r="U53" s="152">
        <f ca="1">AG53</f>
        <v>0</v>
      </c>
      <c r="V53" s="153" t="s">
        <v>155</v>
      </c>
      <c r="W53" s="151">
        <f t="shared" ca="1" si="14"/>
        <v>0</v>
      </c>
      <c r="X53" s="154">
        <f t="shared" ca="1" si="15"/>
        <v>0</v>
      </c>
      <c r="Y53" s="155" t="s">
        <v>244</v>
      </c>
      <c r="Z53" t="str">
        <f t="shared" ca="1" si="16"/>
        <v/>
      </c>
      <c r="AA53" s="156">
        <f ca="1">IF($C53="S",IF($Z53="CP",$X53,IF($Z53="RA",(($X53)*QCI!$AA$3),0)),SomaAgrup)</f>
        <v>0</v>
      </c>
      <c r="AB53" s="157">
        <f t="shared" ca="1" si="17"/>
        <v>0</v>
      </c>
      <c r="AC53" s="158" t="str">
        <f t="shared" ca="1" si="18"/>
        <v/>
      </c>
      <c r="AD53" s="104" t="str">
        <f ca="1">IF(C53&lt;=CRONO.NivelExibicao,MAX($AD$15:OFFSET(AD53,-1,0))+IF($C53&lt;&gt;1,1,MAX(1,COUNTIF(QCI!$A$13:$A$24,OFFSET($E53,-1,0)))),"")</f>
        <v/>
      </c>
      <c r="AE53" s="114" t="str">
        <f t="shared" ca="1" si="19"/>
        <v>SINAPI 95305</v>
      </c>
      <c r="AF53" s="159" t="str">
        <f t="shared" ca="1" si="20"/>
        <v>(abra o arquivo 'Referência 05-2023.xls)</v>
      </c>
      <c r="AG53" s="549">
        <f t="shared" ca="1" si="21"/>
        <v>0</v>
      </c>
      <c r="AH53" s="550">
        <f t="shared" ca="1" si="22"/>
        <v>0.25</v>
      </c>
      <c r="AJ53" s="552">
        <v>420</v>
      </c>
      <c r="AL53" s="573"/>
      <c r="AM53" s="430">
        <f t="shared" ca="1" si="0"/>
        <v>0</v>
      </c>
      <c r="AN53" s="616">
        <f t="shared" ca="1" si="23"/>
        <v>0</v>
      </c>
    </row>
    <row r="54" spans="1:40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4</v>
      </c>
      <c r="G54">
        <f t="shared" ca="1" si="6"/>
        <v>0</v>
      </c>
      <c r="H54">
        <f t="shared" ca="1" si="7"/>
        <v>0</v>
      </c>
      <c r="I54">
        <f t="shared" ca="1" si="8"/>
        <v>0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3" t="str">
        <f t="shared" ca="1" si="10"/>
        <v/>
      </c>
      <c r="M54" s="144" t="s">
        <v>198</v>
      </c>
      <c r="N54" s="145" t="str">
        <f t="shared" ca="1" si="11"/>
        <v>Serviço</v>
      </c>
      <c r="O54" s="146" t="str">
        <f t="shared" ca="1" si="12"/>
        <v>-</v>
      </c>
      <c r="P54" s="147" t="s">
        <v>246</v>
      </c>
      <c r="Q54" s="148" t="s">
        <v>469</v>
      </c>
      <c r="R54" s="149" t="str">
        <f t="shared" ca="1" si="24"/>
        <v>(abra o arquivo 'Referência 05-2023.xls)</v>
      </c>
      <c r="S54" s="150" t="str">
        <f t="shared" ca="1" si="13"/>
        <v>-</v>
      </c>
      <c r="T54" s="151">
        <f ca="1">OFFSET(CÁLCULO!H$15,ROW($T54)-ROW(T$15),0)</f>
        <v>400</v>
      </c>
      <c r="U54" s="152">
        <f ca="1">AG54</f>
        <v>0</v>
      </c>
      <c r="V54" s="153" t="s">
        <v>155</v>
      </c>
      <c r="W54" s="151">
        <f t="shared" ca="1" si="14"/>
        <v>0</v>
      </c>
      <c r="X54" s="154">
        <f t="shared" ca="1" si="15"/>
        <v>0</v>
      </c>
      <c r="Y54" s="155" t="s">
        <v>244</v>
      </c>
      <c r="Z54" t="str">
        <f t="shared" ca="1" si="16"/>
        <v/>
      </c>
      <c r="AA54" s="156">
        <f ca="1">IF($C54="S",IF($Z54="CP",$X54,IF($Z54="RA",(($X54)*QCI!$AA$3),0)),SomaAgrup)</f>
        <v>0</v>
      </c>
      <c r="AB54" s="157">
        <f t="shared" ca="1" si="17"/>
        <v>0</v>
      </c>
      <c r="AC54" s="158" t="str">
        <f t="shared" ca="1" si="18"/>
        <v/>
      </c>
      <c r="AD54" s="104" t="str">
        <f ca="1">IF(C54&lt;=CRONO.NivelExibicao,MAX($AD$15:OFFSET(AD54,-1,0))+IF($C54&lt;&gt;1,1,MAX(1,COUNTIF(QCI!$A$13:$A$24,OFFSET($E54,-1,0)))),"")</f>
        <v/>
      </c>
      <c r="AE54" s="114" t="str">
        <f t="shared" ca="1" si="19"/>
        <v>SINAPI 96126</v>
      </c>
      <c r="AF54" s="159" t="str">
        <f t="shared" ca="1" si="20"/>
        <v>(abra o arquivo 'Referência 05-2023.xls)</v>
      </c>
      <c r="AG54" s="549">
        <f t="shared" ca="1" si="21"/>
        <v>0</v>
      </c>
      <c r="AH54" s="550">
        <f t="shared" ca="1" si="22"/>
        <v>0.25</v>
      </c>
      <c r="AJ54" s="552">
        <v>400</v>
      </c>
      <c r="AL54" s="573"/>
      <c r="AM54" s="430">
        <f t="shared" ca="1" si="0"/>
        <v>0</v>
      </c>
      <c r="AN54" s="616">
        <f t="shared" ca="1" si="23"/>
        <v>0</v>
      </c>
    </row>
    <row r="55" spans="1:40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4</v>
      </c>
      <c r="G55">
        <f t="shared" ca="1" si="6"/>
        <v>0</v>
      </c>
      <c r="H55">
        <f t="shared" ca="1" si="7"/>
        <v>0</v>
      </c>
      <c r="I55">
        <f t="shared" ca="1" si="8"/>
        <v>0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3" t="str">
        <f t="shared" ca="1" si="10"/>
        <v/>
      </c>
      <c r="M55" s="144" t="s">
        <v>198</v>
      </c>
      <c r="N55" s="145" t="str">
        <f t="shared" ca="1" si="11"/>
        <v>Serviço</v>
      </c>
      <c r="O55" s="146" t="str">
        <f t="shared" ca="1" si="12"/>
        <v>-</v>
      </c>
      <c r="P55" s="147" t="s">
        <v>246</v>
      </c>
      <c r="Q55" s="148" t="s">
        <v>474</v>
      </c>
      <c r="R55" s="149" t="str">
        <f ca="1">IF($C55="S",REFERENCIA.Descricao,"(digite a descrição aqui)")</f>
        <v>(abra o arquivo 'Referência 05-2023.xls)</v>
      </c>
      <c r="S55" s="150" t="str">
        <f t="shared" ca="1" si="13"/>
        <v>-</v>
      </c>
      <c r="T55" s="151">
        <f ca="1">OFFSET(CÁLCULO!H$15,ROW($T55)-ROW(T$15),0)</f>
        <v>1100</v>
      </c>
      <c r="U55" s="152">
        <f ca="1">AG55</f>
        <v>0</v>
      </c>
      <c r="V55" s="153" t="s">
        <v>155</v>
      </c>
      <c r="W55" s="151">
        <f t="shared" ca="1" si="14"/>
        <v>0</v>
      </c>
      <c r="X55" s="154">
        <f t="shared" ca="1" si="15"/>
        <v>0</v>
      </c>
      <c r="Y55" s="155" t="s">
        <v>244</v>
      </c>
      <c r="Z55" t="str">
        <f t="shared" ca="1" si="16"/>
        <v/>
      </c>
      <c r="AA55" s="156">
        <f ca="1">IF($C55="S",IF($Z55="CP",$X55,IF($Z55="RA",(($X55)*QCI!$AA$3),0)),SomaAgrup)</f>
        <v>0</v>
      </c>
      <c r="AB55" s="157">
        <f t="shared" ca="1" si="17"/>
        <v>0</v>
      </c>
      <c r="AC55" s="158" t="str">
        <f t="shared" ca="1" si="18"/>
        <v/>
      </c>
      <c r="AD55" s="104" t="str">
        <f ca="1">IF(C55&lt;=CRONO.NivelExibicao,MAX($AD$15:OFFSET(AD55,-1,0))+IF($C55&lt;&gt;1,1,MAX(1,COUNTIF(QCI!$A$13:$A$24,OFFSET($E55,-1,0)))),"")</f>
        <v/>
      </c>
      <c r="AE55" s="114" t="str">
        <f t="shared" ca="1" si="19"/>
        <v>SINAPI 88489</v>
      </c>
      <c r="AF55" s="159" t="str">
        <f t="shared" ca="1" si="20"/>
        <v>(abra o arquivo 'Referência 05-2023.xls)</v>
      </c>
      <c r="AG55" s="549">
        <f t="shared" ca="1" si="21"/>
        <v>0</v>
      </c>
      <c r="AH55" s="550">
        <f t="shared" ca="1" si="22"/>
        <v>0.25</v>
      </c>
      <c r="AJ55" s="552">
        <v>1100</v>
      </c>
      <c r="AL55" s="573"/>
      <c r="AM55" s="430">
        <f t="shared" ca="1" si="0"/>
        <v>0</v>
      </c>
      <c r="AN55" s="616">
        <f t="shared" ca="1" si="23"/>
        <v>0</v>
      </c>
    </row>
    <row r="56" spans="1:40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4</v>
      </c>
      <c r="G56">
        <f t="shared" ca="1" si="6"/>
        <v>0</v>
      </c>
      <c r="H56">
        <f t="shared" ca="1" si="7"/>
        <v>0</v>
      </c>
      <c r="I56">
        <f t="shared" ca="1" si="8"/>
        <v>1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3" t="str">
        <f t="shared" ca="1" si="10"/>
        <v>F</v>
      </c>
      <c r="M56" s="144" t="s">
        <v>198</v>
      </c>
      <c r="N56" s="145" t="str">
        <f t="shared" ca="1" si="11"/>
        <v>Serviço</v>
      </c>
      <c r="O56" s="146" t="str">
        <f t="shared" ca="1" si="12"/>
        <v>1.4.1.</v>
      </c>
      <c r="P56" s="147" t="s">
        <v>246</v>
      </c>
      <c r="Q56" s="148" t="s">
        <v>482</v>
      </c>
      <c r="R56" s="149" t="str">
        <f t="shared" ca="1" si="24"/>
        <v>(abra o arquivo 'Referência 05-2023.xls)</v>
      </c>
      <c r="S56" s="150" t="str">
        <f t="shared" ca="1" si="13"/>
        <v>-</v>
      </c>
      <c r="T56" s="151">
        <f ca="1">OFFSET(CÁLCULO!H$15,ROW($T56)-ROW(T$15),0)</f>
        <v>985</v>
      </c>
      <c r="U56" s="152">
        <v>15.94</v>
      </c>
      <c r="V56" s="153" t="s">
        <v>155</v>
      </c>
      <c r="W56" s="151">
        <f t="shared" ca="1" si="14"/>
        <v>19.93</v>
      </c>
      <c r="X56" s="154">
        <f t="shared" ca="1" si="15"/>
        <v>19631.05</v>
      </c>
      <c r="Y56" s="155" t="s">
        <v>244</v>
      </c>
      <c r="Z56" t="str">
        <f t="shared" ca="1" si="16"/>
        <v>RA</v>
      </c>
      <c r="AA56" s="156">
        <f ca="1">IF($C56="S",IF($Z56="CP",$X56,IF($Z56="RA",(($X56)*QCI!$AA$3),0)),SomaAgrup)</f>
        <v>19631.05</v>
      </c>
      <c r="AB56" s="157">
        <f t="shared" ca="1" si="17"/>
        <v>0</v>
      </c>
      <c r="AC56" s="158" t="str">
        <f t="shared" ca="1" si="18"/>
        <v/>
      </c>
      <c r="AD56" s="104" t="str">
        <f ca="1">IF(C56&lt;=CRONO.NivelExibicao,MAX($AD$15:OFFSET(AD56,-1,0))+IF($C56&lt;&gt;1,1,MAX(1,COUNTIF(QCI!$A$13:$A$24,OFFSET($E56,-1,0)))),"")</f>
        <v/>
      </c>
      <c r="AE56" s="114" t="str">
        <f t="shared" ca="1" si="19"/>
        <v>SINAPI 88488</v>
      </c>
      <c r="AF56" s="159" t="str">
        <f t="shared" ca="1" si="20"/>
        <v>(abra o arquivo 'Referência 05-2023.xls)</v>
      </c>
      <c r="AG56" s="549">
        <f t="shared" ca="1" si="21"/>
        <v>0</v>
      </c>
      <c r="AH56" s="550">
        <f t="shared" ca="1" si="22"/>
        <v>0.25</v>
      </c>
      <c r="AJ56" s="552">
        <v>985</v>
      </c>
      <c r="AL56" s="573"/>
      <c r="AM56" s="430">
        <f t="shared" ca="1" si="0"/>
        <v>19631.05</v>
      </c>
      <c r="AN56" s="616">
        <f t="shared" ca="1" si="23"/>
        <v>19.93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4</v>
      </c>
      <c r="G57">
        <f t="shared" ca="1" si="6"/>
        <v>0</v>
      </c>
      <c r="H57">
        <f t="shared" ca="1" si="7"/>
        <v>0</v>
      </c>
      <c r="I57">
        <f t="shared" ca="1" si="8"/>
        <v>1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3" t="str">
        <f t="shared" ca="1" si="10"/>
        <v/>
      </c>
      <c r="M57" s="144" t="s">
        <v>198</v>
      </c>
      <c r="N57" s="145" t="str">
        <f t="shared" ca="1" si="11"/>
        <v>Serviço</v>
      </c>
      <c r="O57" s="146" t="str">
        <f t="shared" ca="1" si="12"/>
        <v>-</v>
      </c>
      <c r="P57" s="147" t="s">
        <v>246</v>
      </c>
      <c r="Q57" s="148"/>
      <c r="R57" s="149" t="str">
        <f t="shared" ca="1" si="24"/>
        <v>(abra o arquivo 'Referência 05-2023.xls)</v>
      </c>
      <c r="S57" s="150" t="str">
        <f t="shared" ca="1" si="13"/>
        <v>-</v>
      </c>
      <c r="T57" s="151">
        <f ca="1">OFFSET(CÁLCULO!H$15,ROW($T57)-ROW(T$15),0)</f>
        <v>0</v>
      </c>
      <c r="U57" s="152"/>
      <c r="V57" s="153" t="s">
        <v>155</v>
      </c>
      <c r="W57" s="151">
        <f t="shared" ca="1" si="14"/>
        <v>0</v>
      </c>
      <c r="X57" s="154">
        <f t="shared" ca="1" si="15"/>
        <v>0</v>
      </c>
      <c r="Y57" s="155" t="s">
        <v>244</v>
      </c>
      <c r="Z57" t="str">
        <f t="shared" ca="1" si="16"/>
        <v/>
      </c>
      <c r="AA57" s="156">
        <f ca="1">IF($C57="S",IF($Z57="CP",$X57,IF($Z57="RA",(($X57)*QCI!$AA$3),0)),SomaAgrup)</f>
        <v>0</v>
      </c>
      <c r="AB57" s="157">
        <f t="shared" ca="1" si="17"/>
        <v>0</v>
      </c>
      <c r="AC57" s="158" t="str">
        <f t="shared" ca="1" si="18"/>
        <v/>
      </c>
      <c r="AD57" s="104" t="str">
        <f ca="1">IF(C57&lt;=CRONO.NivelExibicao,MAX($AD$15:OFFSET(AD57,-1,0))+IF($C57&lt;&gt;1,1,MAX(1,COUNTIF(QCI!$A$13:$A$24,OFFSET($E57,-1,0)))),"")</f>
        <v/>
      </c>
      <c r="AE57" s="114" t="b">
        <f t="shared" ca="1" si="19"/>
        <v>0</v>
      </c>
      <c r="AF57" s="159" t="str">
        <f t="shared" ca="1" si="20"/>
        <v>(abra o arquivo 'Referência 05-2023.xls)</v>
      </c>
      <c r="AG57" s="549">
        <f t="shared" ca="1" si="21"/>
        <v>0</v>
      </c>
      <c r="AH57" s="550">
        <f t="shared" ca="1" si="22"/>
        <v>0.25</v>
      </c>
      <c r="AJ57" s="552"/>
      <c r="AL57" s="573"/>
      <c r="AM57" s="430">
        <f t="shared" ca="1" si="0"/>
        <v>0</v>
      </c>
      <c r="AN57" s="616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4</v>
      </c>
      <c r="G58">
        <f t="shared" ca="1" si="6"/>
        <v>0</v>
      </c>
      <c r="H58">
        <f t="shared" ca="1" si="7"/>
        <v>0</v>
      </c>
      <c r="I58">
        <f t="shared" ca="1" si="8"/>
        <v>1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3" t="str">
        <f t="shared" ca="1" si="10"/>
        <v/>
      </c>
      <c r="M58" s="144" t="s">
        <v>198</v>
      </c>
      <c r="N58" s="145" t="str">
        <f t="shared" ca="1" si="11"/>
        <v>Serviço</v>
      </c>
      <c r="O58" s="146" t="str">
        <f t="shared" ca="1" si="12"/>
        <v>-</v>
      </c>
      <c r="P58" s="147" t="s">
        <v>246</v>
      </c>
      <c r="Q58" s="148"/>
      <c r="R58" s="149" t="str">
        <f t="shared" ca="1" si="24"/>
        <v>(abra o arquivo 'Referência 05-2023.xls)</v>
      </c>
      <c r="S58" s="150" t="str">
        <f t="shared" ca="1" si="13"/>
        <v>-</v>
      </c>
      <c r="T58" s="151">
        <f ca="1">OFFSET(CÁLCULO!H$15,ROW($T58)-ROW(T$15),0)</f>
        <v>0</v>
      </c>
      <c r="U58" s="152"/>
      <c r="V58" s="153" t="s">
        <v>155</v>
      </c>
      <c r="W58" s="151">
        <f t="shared" ca="1" si="14"/>
        <v>0</v>
      </c>
      <c r="X58" s="154">
        <f t="shared" ca="1" si="15"/>
        <v>0</v>
      </c>
      <c r="Y58" s="155" t="s">
        <v>244</v>
      </c>
      <c r="Z58" t="str">
        <f t="shared" ca="1" si="16"/>
        <v/>
      </c>
      <c r="AA58" s="156">
        <f ca="1">IF($C58="S",IF($Z58="CP",$X58,IF($Z58="RA",(($X58)*QCI!$AA$3),0)),SomaAgrup)</f>
        <v>0</v>
      </c>
      <c r="AB58" s="157">
        <f t="shared" ca="1" si="17"/>
        <v>0</v>
      </c>
      <c r="AC58" s="158" t="str">
        <f t="shared" ca="1" si="18"/>
        <v/>
      </c>
      <c r="AD58" s="104" t="str">
        <f ca="1">IF(C58&lt;=CRONO.NivelExibicao,MAX($AD$15:OFFSET(AD58,-1,0))+IF($C58&lt;&gt;1,1,MAX(1,COUNTIF(QCI!$A$13:$A$24,OFFSET($E58,-1,0)))),"")</f>
        <v/>
      </c>
      <c r="AE58" s="114" t="b">
        <f t="shared" ca="1" si="19"/>
        <v>0</v>
      </c>
      <c r="AF58" s="159" t="str">
        <f t="shared" ca="1" si="20"/>
        <v>(abra o arquivo 'Referência 05-2023.xls)</v>
      </c>
      <c r="AG58" s="549">
        <f t="shared" ca="1" si="21"/>
        <v>0</v>
      </c>
      <c r="AH58" s="550">
        <f t="shared" ca="1" si="22"/>
        <v>0.25</v>
      </c>
      <c r="AJ58" s="552"/>
      <c r="AL58" s="573"/>
      <c r="AM58" s="430">
        <f t="shared" ca="1" si="0"/>
        <v>0</v>
      </c>
      <c r="AN58" s="616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4</v>
      </c>
      <c r="G59">
        <f t="shared" ca="1" si="6"/>
        <v>0</v>
      </c>
      <c r="H59">
        <f t="shared" ca="1" si="7"/>
        <v>0</v>
      </c>
      <c r="I59">
        <f t="shared" ca="1" si="8"/>
        <v>1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3" t="str">
        <f t="shared" ca="1" si="10"/>
        <v/>
      </c>
      <c r="M59" s="144" t="s">
        <v>198</v>
      </c>
      <c r="N59" s="145" t="str">
        <f t="shared" ca="1" si="11"/>
        <v>Serviço</v>
      </c>
      <c r="O59" s="146" t="str">
        <f t="shared" ca="1" si="12"/>
        <v>-</v>
      </c>
      <c r="P59" s="147" t="s">
        <v>246</v>
      </c>
      <c r="Q59" s="148"/>
      <c r="R59" s="149" t="str">
        <f t="shared" ca="1" si="24"/>
        <v>(abra o arquivo 'Referência 05-2023.xls)</v>
      </c>
      <c r="S59" s="150" t="str">
        <f t="shared" ca="1" si="13"/>
        <v>-</v>
      </c>
      <c r="T59" s="151">
        <f ca="1">OFFSET(CÁLCULO!H$15,ROW($T59)-ROW(T$15),0)</f>
        <v>0</v>
      </c>
      <c r="U59" s="152"/>
      <c r="V59" s="153" t="s">
        <v>155</v>
      </c>
      <c r="W59" s="151">
        <f t="shared" ca="1" si="14"/>
        <v>0</v>
      </c>
      <c r="X59" s="154">
        <f t="shared" ca="1" si="15"/>
        <v>0</v>
      </c>
      <c r="Y59" s="155" t="s">
        <v>244</v>
      </c>
      <c r="Z59" t="str">
        <f t="shared" ca="1" si="16"/>
        <v/>
      </c>
      <c r="AA59" s="156">
        <f ca="1">IF($C59="S",IF($Z59="CP",$X59,IF($Z59="RA",(($X59)*QCI!$AA$3),0)),SomaAgrup)</f>
        <v>0</v>
      </c>
      <c r="AB59" s="157">
        <f t="shared" ca="1" si="17"/>
        <v>0</v>
      </c>
      <c r="AC59" s="158" t="str">
        <f t="shared" ca="1" si="18"/>
        <v/>
      </c>
      <c r="AD59" s="104" t="str">
        <f ca="1">IF(C59&lt;=CRONO.NivelExibicao,MAX($AD$15:OFFSET(AD59,-1,0))+IF($C59&lt;&gt;1,1,MAX(1,COUNTIF(QCI!$A$13:$A$24,OFFSET($E59,-1,0)))),"")</f>
        <v/>
      </c>
      <c r="AE59" s="114" t="b">
        <f t="shared" ca="1" si="19"/>
        <v>0</v>
      </c>
      <c r="AF59" s="159" t="str">
        <f t="shared" ca="1" si="20"/>
        <v>(abra o arquivo 'Referência 05-2023.xls)</v>
      </c>
      <c r="AG59" s="549">
        <f t="shared" ca="1" si="21"/>
        <v>0</v>
      </c>
      <c r="AH59" s="550">
        <f t="shared" ca="1" si="22"/>
        <v>0.25</v>
      </c>
      <c r="AJ59" s="552"/>
      <c r="AL59" s="573"/>
      <c r="AM59" s="430">
        <f t="shared" ca="1" si="0"/>
        <v>0</v>
      </c>
      <c r="AN59" s="616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4</v>
      </c>
      <c r="G60">
        <f t="shared" ca="1" si="6"/>
        <v>0</v>
      </c>
      <c r="H60">
        <f t="shared" ca="1" si="7"/>
        <v>0</v>
      </c>
      <c r="I60">
        <f t="shared" ca="1" si="8"/>
        <v>1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3" t="str">
        <f t="shared" ca="1" si="10"/>
        <v/>
      </c>
      <c r="M60" s="144" t="s">
        <v>198</v>
      </c>
      <c r="N60" s="145" t="str">
        <f t="shared" ca="1" si="11"/>
        <v>Serviço</v>
      </c>
      <c r="O60" s="146" t="str">
        <f t="shared" ca="1" si="12"/>
        <v>-</v>
      </c>
      <c r="P60" s="147" t="s">
        <v>246</v>
      </c>
      <c r="Q60" s="148"/>
      <c r="R60" s="149" t="str">
        <f t="shared" ca="1" si="24"/>
        <v>(abra o arquivo 'Referência 05-2023.xls)</v>
      </c>
      <c r="S60" s="150" t="str">
        <f t="shared" ca="1" si="13"/>
        <v>-</v>
      </c>
      <c r="T60" s="151">
        <f ca="1">OFFSET(CÁLCULO!H$15,ROW($T60)-ROW(T$15),0)</f>
        <v>0</v>
      </c>
      <c r="U60" s="152"/>
      <c r="V60" s="153" t="s">
        <v>155</v>
      </c>
      <c r="W60" s="151">
        <f t="shared" ca="1" si="14"/>
        <v>0</v>
      </c>
      <c r="X60" s="154">
        <f t="shared" ca="1" si="15"/>
        <v>0</v>
      </c>
      <c r="Y60" s="155" t="s">
        <v>244</v>
      </c>
      <c r="Z60" t="str">
        <f t="shared" ca="1" si="16"/>
        <v/>
      </c>
      <c r="AA60" s="156">
        <f ca="1">IF($C60="S",IF($Z60="CP",$X60,IF($Z60="RA",(($X60)*QCI!$AA$3),0)),SomaAgrup)</f>
        <v>0</v>
      </c>
      <c r="AB60" s="157">
        <f t="shared" ca="1" si="17"/>
        <v>0</v>
      </c>
      <c r="AC60" s="158" t="str">
        <f t="shared" ca="1" si="18"/>
        <v/>
      </c>
      <c r="AD60" s="104" t="str">
        <f ca="1">IF(C60&lt;=CRONO.NivelExibicao,MAX($AD$15:OFFSET(AD60,-1,0))+IF($C60&lt;&gt;1,1,MAX(1,COUNTIF(QCI!$A$13:$A$24,OFFSET($E60,-1,0)))),"")</f>
        <v/>
      </c>
      <c r="AE60" s="114" t="b">
        <f t="shared" ca="1" si="19"/>
        <v>0</v>
      </c>
      <c r="AF60" s="159" t="str">
        <f t="shared" ca="1" si="20"/>
        <v>(abra o arquivo 'Referência 05-2023.xls)</v>
      </c>
      <c r="AG60" s="549">
        <f t="shared" ca="1" si="21"/>
        <v>0</v>
      </c>
      <c r="AH60" s="550">
        <f t="shared" ca="1" si="22"/>
        <v>0.25</v>
      </c>
      <c r="AJ60" s="552"/>
      <c r="AL60" s="573"/>
      <c r="AM60" s="430">
        <f t="shared" ca="1" si="0"/>
        <v>0</v>
      </c>
      <c r="AN60" s="616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4</v>
      </c>
      <c r="G61">
        <f t="shared" ca="1" si="6"/>
        <v>0</v>
      </c>
      <c r="H61">
        <f t="shared" ca="1" si="7"/>
        <v>0</v>
      </c>
      <c r="I61">
        <f t="shared" ca="1" si="8"/>
        <v>1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3" t="str">
        <f t="shared" ca="1" si="10"/>
        <v/>
      </c>
      <c r="M61" s="144" t="s">
        <v>198</v>
      </c>
      <c r="N61" s="145" t="str">
        <f t="shared" ca="1" si="11"/>
        <v>Serviço</v>
      </c>
      <c r="O61" s="146" t="str">
        <f t="shared" ca="1" si="12"/>
        <v>-</v>
      </c>
      <c r="P61" s="147" t="s">
        <v>246</v>
      </c>
      <c r="Q61" s="148"/>
      <c r="R61" s="149" t="str">
        <f t="shared" ca="1" si="24"/>
        <v>(abra o arquivo 'Referência 05-2023.xls)</v>
      </c>
      <c r="S61" s="150" t="str">
        <f t="shared" ca="1" si="13"/>
        <v>-</v>
      </c>
      <c r="T61" s="151">
        <f ca="1">OFFSET(CÁLCULO!H$15,ROW($T61)-ROW(T$15),0)</f>
        <v>0</v>
      </c>
      <c r="U61" s="152"/>
      <c r="V61" s="153" t="s">
        <v>155</v>
      </c>
      <c r="W61" s="151">
        <f t="shared" ca="1" si="14"/>
        <v>0</v>
      </c>
      <c r="X61" s="154">
        <f t="shared" ca="1" si="15"/>
        <v>0</v>
      </c>
      <c r="Y61" s="155" t="s">
        <v>244</v>
      </c>
      <c r="Z61" t="str">
        <f t="shared" ca="1" si="16"/>
        <v/>
      </c>
      <c r="AA61" s="156">
        <f ca="1">IF($C61="S",IF($Z61="CP",$X61,IF($Z61="RA",(($X61)*QCI!$AA$3),0)),SomaAgrup)</f>
        <v>0</v>
      </c>
      <c r="AB61" s="157">
        <f t="shared" ca="1" si="17"/>
        <v>0</v>
      </c>
      <c r="AC61" s="158" t="str">
        <f t="shared" ca="1" si="18"/>
        <v/>
      </c>
      <c r="AD61" s="104" t="str">
        <f ca="1">IF(C61&lt;=CRONO.NivelExibicao,MAX($AD$15:OFFSET(AD61,-1,0))+IF($C61&lt;&gt;1,1,MAX(1,COUNTIF(QCI!$A$13:$A$24,OFFSET($E61,-1,0)))),"")</f>
        <v/>
      </c>
      <c r="AE61" s="114" t="b">
        <f t="shared" ca="1" si="19"/>
        <v>0</v>
      </c>
      <c r="AF61" s="159" t="str">
        <f t="shared" ca="1" si="20"/>
        <v>(abra o arquivo 'Referência 05-2023.xls)</v>
      </c>
      <c r="AG61" s="549">
        <f t="shared" ca="1" si="21"/>
        <v>0</v>
      </c>
      <c r="AH61" s="550">
        <f t="shared" ca="1" si="22"/>
        <v>0.25</v>
      </c>
      <c r="AJ61" s="552"/>
      <c r="AL61" s="573"/>
      <c r="AM61" s="430">
        <f t="shared" ca="1" si="0"/>
        <v>0</v>
      </c>
      <c r="AN61" s="616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4</v>
      </c>
      <c r="G62">
        <f t="shared" ca="1" si="6"/>
        <v>0</v>
      </c>
      <c r="H62">
        <f t="shared" ca="1" si="7"/>
        <v>0</v>
      </c>
      <c r="I62">
        <f t="shared" ca="1" si="8"/>
        <v>1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3" t="str">
        <f t="shared" ca="1" si="10"/>
        <v/>
      </c>
      <c r="M62" s="144" t="s">
        <v>198</v>
      </c>
      <c r="N62" s="145" t="str">
        <f t="shared" ca="1" si="11"/>
        <v>Serviço</v>
      </c>
      <c r="O62" s="146" t="str">
        <f t="shared" ca="1" si="12"/>
        <v>-</v>
      </c>
      <c r="P62" s="147" t="s">
        <v>246</v>
      </c>
      <c r="Q62" s="148"/>
      <c r="R62" s="149" t="str">
        <f t="shared" ca="1" si="24"/>
        <v>(abra o arquivo 'Referência 05-2023.xls)</v>
      </c>
      <c r="S62" s="150" t="str">
        <f t="shared" ca="1" si="13"/>
        <v>-</v>
      </c>
      <c r="T62" s="151">
        <f ca="1">OFFSET(CÁLCULO!H$15,ROW($T62)-ROW(T$15),0)</f>
        <v>0</v>
      </c>
      <c r="U62" s="152"/>
      <c r="V62" s="153" t="s">
        <v>155</v>
      </c>
      <c r="W62" s="151">
        <f t="shared" ca="1" si="14"/>
        <v>0</v>
      </c>
      <c r="X62" s="154">
        <f t="shared" ca="1" si="15"/>
        <v>0</v>
      </c>
      <c r="Y62" s="155" t="s">
        <v>244</v>
      </c>
      <c r="Z62" t="str">
        <f t="shared" ca="1" si="16"/>
        <v/>
      </c>
      <c r="AA62" s="156">
        <f ca="1">IF($C62="S",IF($Z62="CP",$X62,IF($Z62="RA",(($X62)*QCI!$AA$3),0)),SomaAgrup)</f>
        <v>0</v>
      </c>
      <c r="AB62" s="157">
        <f t="shared" ca="1" si="17"/>
        <v>0</v>
      </c>
      <c r="AC62" s="158" t="str">
        <f t="shared" ca="1" si="18"/>
        <v/>
      </c>
      <c r="AD62" s="104" t="str">
        <f ca="1">IF(C62&lt;=CRONO.NivelExibicao,MAX($AD$15:OFFSET(AD62,-1,0))+IF($C62&lt;&gt;1,1,MAX(1,COUNTIF(QCI!$A$13:$A$24,OFFSET($E62,-1,0)))),"")</f>
        <v/>
      </c>
      <c r="AE62" s="114" t="b">
        <f t="shared" ca="1" si="19"/>
        <v>0</v>
      </c>
      <c r="AF62" s="159" t="str">
        <f t="shared" ca="1" si="20"/>
        <v>(abra o arquivo 'Referência 05-2023.xls)</v>
      </c>
      <c r="AG62" s="549">
        <f t="shared" ca="1" si="21"/>
        <v>0</v>
      </c>
      <c r="AH62" s="550">
        <f t="shared" ca="1" si="22"/>
        <v>0.25</v>
      </c>
      <c r="AJ62" s="552"/>
      <c r="AL62" s="573"/>
      <c r="AM62" s="430">
        <f t="shared" ca="1" si="0"/>
        <v>0</v>
      </c>
      <c r="AN62" s="616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4</v>
      </c>
      <c r="G63">
        <f t="shared" ca="1" si="6"/>
        <v>0</v>
      </c>
      <c r="H63">
        <f t="shared" ca="1" si="7"/>
        <v>0</v>
      </c>
      <c r="I63">
        <f t="shared" ca="1" si="8"/>
        <v>1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3" t="str">
        <f t="shared" ca="1" si="10"/>
        <v/>
      </c>
      <c r="M63" s="144" t="s">
        <v>198</v>
      </c>
      <c r="N63" s="145" t="str">
        <f t="shared" ca="1" si="11"/>
        <v>Serviço</v>
      </c>
      <c r="O63" s="146" t="str">
        <f t="shared" ca="1" si="12"/>
        <v>-</v>
      </c>
      <c r="P63" s="147" t="s">
        <v>246</v>
      </c>
      <c r="Q63" s="148"/>
      <c r="R63" s="149" t="str">
        <f t="shared" ca="1" si="24"/>
        <v>(abra o arquivo 'Referência 05-2023.xls)</v>
      </c>
      <c r="S63" s="150" t="str">
        <f t="shared" ca="1" si="13"/>
        <v>-</v>
      </c>
      <c r="T63" s="151">
        <f ca="1">OFFSET(CÁLCULO!H$15,ROW($T63)-ROW(T$15),0)</f>
        <v>0</v>
      </c>
      <c r="U63" s="152"/>
      <c r="V63" s="153" t="s">
        <v>155</v>
      </c>
      <c r="W63" s="151">
        <f t="shared" ca="1" si="14"/>
        <v>0</v>
      </c>
      <c r="X63" s="154">
        <f t="shared" ca="1" si="15"/>
        <v>0</v>
      </c>
      <c r="Y63" s="155" t="s">
        <v>244</v>
      </c>
      <c r="Z63" t="str">
        <f t="shared" ca="1" si="16"/>
        <v/>
      </c>
      <c r="AA63" s="156">
        <f ca="1">IF($C63="S",IF($Z63="CP",$X63,IF($Z63="RA",(($X63)*QCI!$AA$3),0)),SomaAgrup)</f>
        <v>0</v>
      </c>
      <c r="AB63" s="157">
        <f t="shared" ca="1" si="17"/>
        <v>0</v>
      </c>
      <c r="AC63" s="158" t="str">
        <f t="shared" ca="1" si="18"/>
        <v/>
      </c>
      <c r="AD63" s="104" t="str">
        <f ca="1">IF(C63&lt;=CRONO.NivelExibicao,MAX($AD$15:OFFSET(AD63,-1,0))+IF($C63&lt;&gt;1,1,MAX(1,COUNTIF(QCI!$A$13:$A$24,OFFSET($E63,-1,0)))),"")</f>
        <v/>
      </c>
      <c r="AE63" s="114" t="b">
        <f t="shared" ca="1" si="19"/>
        <v>0</v>
      </c>
      <c r="AF63" s="159" t="str">
        <f t="shared" ca="1" si="20"/>
        <v>(abra o arquivo 'Referência 05-2023.xls)</v>
      </c>
      <c r="AG63" s="549">
        <f t="shared" ca="1" si="21"/>
        <v>0</v>
      </c>
      <c r="AH63" s="550">
        <f t="shared" ca="1" si="22"/>
        <v>0.25</v>
      </c>
      <c r="AJ63" s="552"/>
      <c r="AL63" s="573"/>
      <c r="AM63" s="430">
        <f t="shared" ca="1" si="0"/>
        <v>0</v>
      </c>
      <c r="AN63" s="616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4</v>
      </c>
      <c r="G64">
        <f t="shared" ca="1" si="6"/>
        <v>0</v>
      </c>
      <c r="H64">
        <f t="shared" ca="1" si="7"/>
        <v>0</v>
      </c>
      <c r="I64">
        <f t="shared" ca="1" si="8"/>
        <v>1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3" t="str">
        <f t="shared" ca="1" si="10"/>
        <v/>
      </c>
      <c r="M64" s="144" t="s">
        <v>198</v>
      </c>
      <c r="N64" s="145" t="str">
        <f t="shared" ca="1" si="11"/>
        <v>Serviço</v>
      </c>
      <c r="O64" s="146" t="str">
        <f t="shared" ca="1" si="12"/>
        <v>-</v>
      </c>
      <c r="P64" s="147" t="s">
        <v>246</v>
      </c>
      <c r="Q64" s="148"/>
      <c r="R64" s="149" t="str">
        <f t="shared" ca="1" si="24"/>
        <v>(abra o arquivo 'Referência 05-2023.xls)</v>
      </c>
      <c r="S64" s="150" t="str">
        <f t="shared" ca="1" si="13"/>
        <v>-</v>
      </c>
      <c r="T64" s="151">
        <f ca="1">OFFSET(CÁLCULO!H$15,ROW($T64)-ROW(T$15),0)</f>
        <v>0</v>
      </c>
      <c r="U64" s="152"/>
      <c r="V64" s="153" t="s">
        <v>155</v>
      </c>
      <c r="W64" s="151">
        <f t="shared" ca="1" si="14"/>
        <v>0</v>
      </c>
      <c r="X64" s="154">
        <f t="shared" ca="1" si="15"/>
        <v>0</v>
      </c>
      <c r="Y64" s="155" t="s">
        <v>244</v>
      </c>
      <c r="Z64" t="str">
        <f t="shared" ca="1" si="16"/>
        <v/>
      </c>
      <c r="AA64" s="156">
        <f ca="1">IF($C64="S",IF($Z64="CP",$X64,IF($Z64="RA",(($X64)*QCI!$AA$3),0)),SomaAgrup)</f>
        <v>0</v>
      </c>
      <c r="AB64" s="157">
        <f t="shared" ca="1" si="17"/>
        <v>0</v>
      </c>
      <c r="AC64" s="158" t="str">
        <f t="shared" ca="1" si="18"/>
        <v/>
      </c>
      <c r="AD64" s="104" t="str">
        <f ca="1">IF(C64&lt;=CRONO.NivelExibicao,MAX($AD$15:OFFSET(AD64,-1,0))+IF($C64&lt;&gt;1,1,MAX(1,COUNTIF(QCI!$A$13:$A$24,OFFSET($E64,-1,0)))),"")</f>
        <v/>
      </c>
      <c r="AE64" s="114" t="b">
        <f t="shared" ca="1" si="19"/>
        <v>0</v>
      </c>
      <c r="AF64" s="159" t="str">
        <f t="shared" ca="1" si="20"/>
        <v>(abra o arquivo 'Referência 05-2023.xls)</v>
      </c>
      <c r="AG64" s="549">
        <f t="shared" ca="1" si="21"/>
        <v>0</v>
      </c>
      <c r="AH64" s="550">
        <f t="shared" ca="1" si="22"/>
        <v>0.25</v>
      </c>
      <c r="AJ64" s="552"/>
      <c r="AL64" s="573"/>
      <c r="AM64" s="430">
        <f t="shared" ca="1" si="0"/>
        <v>0</v>
      </c>
      <c r="AN64" s="616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4</v>
      </c>
      <c r="G65">
        <f t="shared" ca="1" si="6"/>
        <v>0</v>
      </c>
      <c r="H65">
        <f t="shared" ca="1" si="7"/>
        <v>0</v>
      </c>
      <c r="I65">
        <f t="shared" ca="1" si="8"/>
        <v>1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3" t="str">
        <f t="shared" ca="1" si="10"/>
        <v/>
      </c>
      <c r="M65" s="144" t="s">
        <v>198</v>
      </c>
      <c r="N65" s="145" t="str">
        <f t="shared" ca="1" si="11"/>
        <v>Serviço</v>
      </c>
      <c r="O65" s="146" t="str">
        <f t="shared" ca="1" si="12"/>
        <v>-</v>
      </c>
      <c r="P65" s="147" t="s">
        <v>246</v>
      </c>
      <c r="Q65" s="148"/>
      <c r="R65" s="149" t="str">
        <f t="shared" ca="1" si="24"/>
        <v>(abra o arquivo 'Referência 05-2023.xls)</v>
      </c>
      <c r="S65" s="150" t="str">
        <f t="shared" ca="1" si="13"/>
        <v>-</v>
      </c>
      <c r="T65" s="151">
        <f ca="1">OFFSET(CÁLCULO!H$15,ROW($T65)-ROW(T$15),0)</f>
        <v>0</v>
      </c>
      <c r="U65" s="152"/>
      <c r="V65" s="153" t="s">
        <v>155</v>
      </c>
      <c r="W65" s="151">
        <f t="shared" ca="1" si="14"/>
        <v>0</v>
      </c>
      <c r="X65" s="154">
        <f t="shared" ca="1" si="15"/>
        <v>0</v>
      </c>
      <c r="Y65" s="155" t="s">
        <v>244</v>
      </c>
      <c r="Z65" t="str">
        <f t="shared" ca="1" si="16"/>
        <v/>
      </c>
      <c r="AA65" s="156">
        <f ca="1">IF($C65="S",IF($Z65="CP",$X65,IF($Z65="RA",(($X65)*QCI!$AA$3),0)),SomaAgrup)</f>
        <v>0</v>
      </c>
      <c r="AB65" s="157">
        <f t="shared" ca="1" si="17"/>
        <v>0</v>
      </c>
      <c r="AC65" s="158" t="str">
        <f t="shared" ca="1" si="18"/>
        <v/>
      </c>
      <c r="AD65" s="104" t="str">
        <f ca="1">IF(C65&lt;=CRONO.NivelExibicao,MAX($AD$15:OFFSET(AD65,-1,0))+IF($C65&lt;&gt;1,1,MAX(1,COUNTIF(QCI!$A$13:$A$24,OFFSET($E65,-1,0)))),"")</f>
        <v/>
      </c>
      <c r="AE65" s="114" t="b">
        <f t="shared" ca="1" si="19"/>
        <v>0</v>
      </c>
      <c r="AF65" s="159" t="str">
        <f t="shared" ca="1" si="20"/>
        <v>(abra o arquivo 'Referência 05-2023.xls)</v>
      </c>
      <c r="AG65" s="549">
        <f t="shared" ca="1" si="21"/>
        <v>0</v>
      </c>
      <c r="AH65" s="550">
        <f t="shared" ca="1" si="22"/>
        <v>0.25</v>
      </c>
      <c r="AJ65" s="552"/>
      <c r="AL65" s="573"/>
      <c r="AM65" s="430">
        <f t="shared" ca="1" si="0"/>
        <v>0</v>
      </c>
      <c r="AN65" s="616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4</v>
      </c>
      <c r="G66">
        <f t="shared" ca="1" si="6"/>
        <v>0</v>
      </c>
      <c r="H66">
        <f t="shared" ca="1" si="7"/>
        <v>0</v>
      </c>
      <c r="I66">
        <f t="shared" ca="1" si="8"/>
        <v>1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3" t="str">
        <f t="shared" ca="1" si="10"/>
        <v/>
      </c>
      <c r="M66" s="144" t="s">
        <v>198</v>
      </c>
      <c r="N66" s="145" t="str">
        <f t="shared" ca="1" si="11"/>
        <v>Serviço</v>
      </c>
      <c r="O66" s="146" t="str">
        <f t="shared" ca="1" si="12"/>
        <v>-</v>
      </c>
      <c r="P66" s="147" t="s">
        <v>246</v>
      </c>
      <c r="Q66" s="148"/>
      <c r="R66" s="149" t="str">
        <f ca="1">IF($C66="S",REFERENCIA.Descricao,"(digite a descrição aqui)")</f>
        <v>(abra o arquivo 'Referência 05-2023.xls)</v>
      </c>
      <c r="S66" s="150" t="str">
        <f t="shared" ca="1" si="13"/>
        <v>-</v>
      </c>
      <c r="T66" s="151">
        <f ca="1">OFFSET(CÁLCULO!H$15,ROW($T66)-ROW(T$15),0)</f>
        <v>0</v>
      </c>
      <c r="U66" s="152"/>
      <c r="V66" s="153" t="s">
        <v>155</v>
      </c>
      <c r="W66" s="151">
        <f t="shared" ca="1" si="14"/>
        <v>0</v>
      </c>
      <c r="X66" s="154">
        <f t="shared" ca="1" si="15"/>
        <v>0</v>
      </c>
      <c r="Y66" s="155" t="s">
        <v>244</v>
      </c>
      <c r="Z66" t="str">
        <f t="shared" ca="1" si="16"/>
        <v/>
      </c>
      <c r="AA66" s="156">
        <f ca="1">IF($C66="S",IF($Z66="CP",$X66,IF($Z66="RA",(($X66)*QCI!$AA$3),0)),SomaAgrup)</f>
        <v>0</v>
      </c>
      <c r="AB66" s="157">
        <f t="shared" ca="1" si="17"/>
        <v>0</v>
      </c>
      <c r="AC66" s="158" t="str">
        <f t="shared" ca="1" si="18"/>
        <v/>
      </c>
      <c r="AD66" s="104" t="str">
        <f ca="1">IF(C66&lt;=CRONO.NivelExibicao,MAX($AD$15:OFFSET(AD66,-1,0))+IF($C66&lt;&gt;1,1,MAX(1,COUNTIF(QCI!$A$13:$A$24,OFFSET($E66,-1,0)))),"")</f>
        <v/>
      </c>
      <c r="AE66" s="114" t="b">
        <f t="shared" ca="1" si="19"/>
        <v>0</v>
      </c>
      <c r="AF66" s="159" t="str">
        <f t="shared" ca="1" si="20"/>
        <v>(abra o arquivo 'Referência 05-2023.xls)</v>
      </c>
      <c r="AG66" s="549">
        <f t="shared" ca="1" si="21"/>
        <v>0</v>
      </c>
      <c r="AH66" s="550">
        <f t="shared" ca="1" si="22"/>
        <v>0.25</v>
      </c>
      <c r="AJ66" s="552"/>
      <c r="AL66" s="573"/>
      <c r="AM66" s="430">
        <f t="shared" ca="1" si="0"/>
        <v>0</v>
      </c>
      <c r="AN66" s="616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4</v>
      </c>
      <c r="G67">
        <f t="shared" ca="1" si="6"/>
        <v>0</v>
      </c>
      <c r="H67">
        <f t="shared" ca="1" si="7"/>
        <v>0</v>
      </c>
      <c r="I67">
        <f t="shared" ca="1" si="8"/>
        <v>1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3" t="str">
        <f t="shared" ca="1" si="10"/>
        <v/>
      </c>
      <c r="M67" s="144" t="s">
        <v>198</v>
      </c>
      <c r="N67" s="145" t="str">
        <f t="shared" ca="1" si="11"/>
        <v>Serviço</v>
      </c>
      <c r="O67" s="146" t="str">
        <f t="shared" ca="1" si="12"/>
        <v>-</v>
      </c>
      <c r="P67" s="147" t="s">
        <v>246</v>
      </c>
      <c r="Q67" s="148"/>
      <c r="R67" s="149" t="str">
        <f t="shared" ca="1" si="24"/>
        <v>(abra o arquivo 'Referência 05-2023.xls)</v>
      </c>
      <c r="S67" s="150" t="str">
        <f t="shared" ca="1" si="13"/>
        <v>-</v>
      </c>
      <c r="T67" s="151">
        <f ca="1">OFFSET(CÁLCULO!H$15,ROW($T67)-ROW(T$15),0)</f>
        <v>0</v>
      </c>
      <c r="U67" s="152"/>
      <c r="V67" s="153" t="s">
        <v>155</v>
      </c>
      <c r="W67" s="151">
        <f t="shared" ca="1" si="14"/>
        <v>0</v>
      </c>
      <c r="X67" s="154">
        <f t="shared" ca="1" si="15"/>
        <v>0</v>
      </c>
      <c r="Y67" s="155" t="s">
        <v>244</v>
      </c>
      <c r="Z67" t="str">
        <f t="shared" ca="1" si="16"/>
        <v/>
      </c>
      <c r="AA67" s="156">
        <f ca="1">IF($C67="S",IF($Z67="CP",$X67,IF($Z67="RA",(($X67)*QCI!$AA$3),0)),SomaAgrup)</f>
        <v>0</v>
      </c>
      <c r="AB67" s="157">
        <f t="shared" ca="1" si="17"/>
        <v>0</v>
      </c>
      <c r="AC67" s="158" t="str">
        <f t="shared" ca="1" si="18"/>
        <v/>
      </c>
      <c r="AD67" s="104" t="str">
        <f ca="1">IF(C67&lt;=CRONO.NivelExibicao,MAX($AD$15:OFFSET(AD67,-1,0))+IF($C67&lt;&gt;1,1,MAX(1,COUNTIF(QCI!$A$13:$A$24,OFFSET($E67,-1,0)))),"")</f>
        <v/>
      </c>
      <c r="AE67" s="114" t="b">
        <f t="shared" ca="1" si="19"/>
        <v>0</v>
      </c>
      <c r="AF67" s="159" t="str">
        <f t="shared" ca="1" si="20"/>
        <v>(abra o arquivo 'Referência 05-2023.xls)</v>
      </c>
      <c r="AG67" s="549">
        <f t="shared" ca="1" si="21"/>
        <v>0</v>
      </c>
      <c r="AH67" s="550">
        <f t="shared" ca="1" si="22"/>
        <v>0.25</v>
      </c>
      <c r="AJ67" s="552"/>
      <c r="AL67" s="573"/>
      <c r="AM67" s="430">
        <f t="shared" ca="1" si="0"/>
        <v>0</v>
      </c>
      <c r="AN67" s="616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4</v>
      </c>
      <c r="G68">
        <f t="shared" ca="1" si="6"/>
        <v>0</v>
      </c>
      <c r="H68">
        <f t="shared" ca="1" si="7"/>
        <v>0</v>
      </c>
      <c r="I68">
        <f t="shared" ca="1" si="8"/>
        <v>1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3" t="str">
        <f t="shared" ca="1" si="10"/>
        <v/>
      </c>
      <c r="M68" s="144" t="s">
        <v>198</v>
      </c>
      <c r="N68" s="145" t="str">
        <f t="shared" ca="1" si="11"/>
        <v>Serviço</v>
      </c>
      <c r="O68" s="146" t="str">
        <f t="shared" ca="1" si="12"/>
        <v>-</v>
      </c>
      <c r="P68" s="147" t="s">
        <v>246</v>
      </c>
      <c r="Q68" s="148"/>
      <c r="R68" s="149" t="str">
        <f t="shared" ca="1" si="24"/>
        <v>(abra o arquivo 'Referência 05-2023.xls)</v>
      </c>
      <c r="S68" s="150" t="str">
        <f t="shared" ca="1" si="13"/>
        <v>-</v>
      </c>
      <c r="T68" s="151">
        <f ca="1">OFFSET(CÁLCULO!H$15,ROW($T68)-ROW(T$15),0)</f>
        <v>0</v>
      </c>
      <c r="U68" s="152"/>
      <c r="V68" s="153" t="s">
        <v>155</v>
      </c>
      <c r="W68" s="151">
        <f t="shared" ca="1" si="14"/>
        <v>0</v>
      </c>
      <c r="X68" s="154">
        <f t="shared" ca="1" si="15"/>
        <v>0</v>
      </c>
      <c r="Y68" s="155" t="s">
        <v>244</v>
      </c>
      <c r="Z68" t="str">
        <f t="shared" ca="1" si="16"/>
        <v/>
      </c>
      <c r="AA68" s="156">
        <f ca="1">IF($C68="S",IF($Z68="CP",$X68,IF($Z68="RA",(($X68)*QCI!$AA$3),0)),SomaAgrup)</f>
        <v>0</v>
      </c>
      <c r="AB68" s="157">
        <f t="shared" ca="1" si="17"/>
        <v>0</v>
      </c>
      <c r="AC68" s="158" t="str">
        <f t="shared" ca="1" si="18"/>
        <v/>
      </c>
      <c r="AD68" s="104" t="str">
        <f ca="1">IF(C68&lt;=CRONO.NivelExibicao,MAX($AD$15:OFFSET(AD68,-1,0))+IF($C68&lt;&gt;1,1,MAX(1,COUNTIF(QCI!$A$13:$A$24,OFFSET($E68,-1,0)))),"")</f>
        <v/>
      </c>
      <c r="AE68" s="114" t="b">
        <f t="shared" ca="1" si="19"/>
        <v>0</v>
      </c>
      <c r="AF68" s="159" t="str">
        <f t="shared" ca="1" si="20"/>
        <v>(abra o arquivo 'Referência 05-2023.xls)</v>
      </c>
      <c r="AG68" s="549">
        <f t="shared" ca="1" si="21"/>
        <v>0</v>
      </c>
      <c r="AH68" s="550">
        <f t="shared" ca="1" si="22"/>
        <v>0.25</v>
      </c>
      <c r="AJ68" s="552"/>
      <c r="AL68" s="573"/>
      <c r="AM68" s="430">
        <f t="shared" ca="1" si="0"/>
        <v>0</v>
      </c>
      <c r="AN68" s="616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4</v>
      </c>
      <c r="G69">
        <f t="shared" ca="1" si="6"/>
        <v>0</v>
      </c>
      <c r="H69">
        <f t="shared" ca="1" si="7"/>
        <v>0</v>
      </c>
      <c r="I69">
        <f t="shared" ca="1" si="8"/>
        <v>1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3" t="str">
        <f t="shared" ca="1" si="10"/>
        <v/>
      </c>
      <c r="M69" s="144" t="s">
        <v>198</v>
      </c>
      <c r="N69" s="145" t="str">
        <f t="shared" ca="1" si="11"/>
        <v>Serviço</v>
      </c>
      <c r="O69" s="146" t="str">
        <f t="shared" ca="1" si="12"/>
        <v>-</v>
      </c>
      <c r="P69" s="147" t="s">
        <v>246</v>
      </c>
      <c r="Q69" s="148"/>
      <c r="R69" s="149" t="str">
        <f t="shared" ca="1" si="24"/>
        <v>(abra o arquivo 'Referência 05-2023.xls)</v>
      </c>
      <c r="S69" s="150" t="str">
        <f t="shared" ca="1" si="13"/>
        <v>-</v>
      </c>
      <c r="T69" s="151">
        <f ca="1">OFFSET(CÁLCULO!H$15,ROW($T69)-ROW(T$15),0)</f>
        <v>0</v>
      </c>
      <c r="U69" s="152"/>
      <c r="V69" s="153" t="s">
        <v>155</v>
      </c>
      <c r="W69" s="151">
        <f t="shared" ca="1" si="14"/>
        <v>0</v>
      </c>
      <c r="X69" s="154">
        <f t="shared" ca="1" si="15"/>
        <v>0</v>
      </c>
      <c r="Y69" s="155" t="s">
        <v>244</v>
      </c>
      <c r="Z69" t="str">
        <f t="shared" ca="1" si="16"/>
        <v/>
      </c>
      <c r="AA69" s="156">
        <f ca="1">IF($C69="S",IF($Z69="CP",$X69,IF($Z69="RA",(($X69)*QCI!$AA$3),0)),SomaAgrup)</f>
        <v>0</v>
      </c>
      <c r="AB69" s="157">
        <f t="shared" ca="1" si="17"/>
        <v>0</v>
      </c>
      <c r="AC69" s="158" t="str">
        <f t="shared" ca="1" si="18"/>
        <v/>
      </c>
      <c r="AD69" s="104" t="str">
        <f ca="1">IF(C69&lt;=CRONO.NivelExibicao,MAX($AD$15:OFFSET(AD69,-1,0))+IF($C69&lt;&gt;1,1,MAX(1,COUNTIF(QCI!$A$13:$A$24,OFFSET($E69,-1,0)))),"")</f>
        <v/>
      </c>
      <c r="AE69" s="114" t="b">
        <f t="shared" ca="1" si="19"/>
        <v>0</v>
      </c>
      <c r="AF69" s="159" t="str">
        <f t="shared" ca="1" si="20"/>
        <v>(abra o arquivo 'Referência 05-2023.xls)</v>
      </c>
      <c r="AG69" s="549">
        <f t="shared" ca="1" si="21"/>
        <v>0</v>
      </c>
      <c r="AH69" s="550">
        <f t="shared" ca="1" si="22"/>
        <v>0.25</v>
      </c>
      <c r="AJ69" s="552"/>
      <c r="AL69" s="573"/>
      <c r="AM69" s="430">
        <f t="shared" ca="1" si="0"/>
        <v>0</v>
      </c>
      <c r="AN69" s="616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4</v>
      </c>
      <c r="G70">
        <f t="shared" ca="1" si="6"/>
        <v>0</v>
      </c>
      <c r="H70">
        <f t="shared" ca="1" si="7"/>
        <v>0</v>
      </c>
      <c r="I70">
        <f t="shared" ca="1" si="8"/>
        <v>1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3" t="str">
        <f t="shared" ca="1" si="10"/>
        <v/>
      </c>
      <c r="M70" s="144" t="s">
        <v>198</v>
      </c>
      <c r="N70" s="145" t="str">
        <f t="shared" ca="1" si="11"/>
        <v>Serviço</v>
      </c>
      <c r="O70" s="146" t="str">
        <f t="shared" ca="1" si="12"/>
        <v>-</v>
      </c>
      <c r="P70" s="147" t="s">
        <v>246</v>
      </c>
      <c r="Q70" s="148"/>
      <c r="R70" s="149" t="str">
        <f t="shared" ca="1" si="24"/>
        <v>(abra o arquivo 'Referência 05-2023.xls)</v>
      </c>
      <c r="S70" s="150" t="str">
        <f t="shared" ca="1" si="13"/>
        <v>-</v>
      </c>
      <c r="T70" s="151">
        <f ca="1">OFFSET(CÁLCULO!H$15,ROW($T70)-ROW(T$15),0)</f>
        <v>0</v>
      </c>
      <c r="U70" s="152"/>
      <c r="V70" s="153" t="s">
        <v>155</v>
      </c>
      <c r="W70" s="151">
        <f t="shared" ca="1" si="14"/>
        <v>0</v>
      </c>
      <c r="X70" s="154">
        <f t="shared" ca="1" si="15"/>
        <v>0</v>
      </c>
      <c r="Y70" s="155" t="s">
        <v>244</v>
      </c>
      <c r="Z70" t="str">
        <f t="shared" ca="1" si="16"/>
        <v/>
      </c>
      <c r="AA70" s="156">
        <f ca="1">IF($C70="S",IF($Z70="CP",$X70,IF($Z70="RA",(($X70)*QCI!$AA$3),0)),SomaAgrup)</f>
        <v>0</v>
      </c>
      <c r="AB70" s="157">
        <f t="shared" ca="1" si="17"/>
        <v>0</v>
      </c>
      <c r="AC70" s="158" t="str">
        <f t="shared" ca="1" si="18"/>
        <v/>
      </c>
      <c r="AD70" s="104" t="str">
        <f ca="1">IF(C70&lt;=CRONO.NivelExibicao,MAX($AD$15:OFFSET(AD70,-1,0))+IF($C70&lt;&gt;1,1,MAX(1,COUNTIF(QCI!$A$13:$A$24,OFFSET($E70,-1,0)))),"")</f>
        <v/>
      </c>
      <c r="AE70" s="114" t="b">
        <f t="shared" ca="1" si="19"/>
        <v>0</v>
      </c>
      <c r="AF70" s="159" t="str">
        <f t="shared" ca="1" si="20"/>
        <v>(abra o arquivo 'Referência 05-2023.xls)</v>
      </c>
      <c r="AG70" s="549">
        <f t="shared" ca="1" si="21"/>
        <v>0</v>
      </c>
      <c r="AH70" s="550">
        <f t="shared" ca="1" si="22"/>
        <v>0.25</v>
      </c>
      <c r="AJ70" s="552"/>
      <c r="AL70" s="573"/>
      <c r="AM70" s="430">
        <f t="shared" ca="1" si="0"/>
        <v>0</v>
      </c>
      <c r="AN70" s="616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4</v>
      </c>
      <c r="G71">
        <f t="shared" ca="1" si="6"/>
        <v>0</v>
      </c>
      <c r="H71">
        <f t="shared" ca="1" si="7"/>
        <v>0</v>
      </c>
      <c r="I71">
        <f t="shared" ca="1" si="8"/>
        <v>1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3" t="str">
        <f t="shared" ca="1" si="10"/>
        <v/>
      </c>
      <c r="M71" s="144" t="s">
        <v>198</v>
      </c>
      <c r="N71" s="145" t="str">
        <f t="shared" ca="1" si="11"/>
        <v>Serviço</v>
      </c>
      <c r="O71" s="146" t="str">
        <f t="shared" ca="1" si="12"/>
        <v>-</v>
      </c>
      <c r="P71" s="147" t="s">
        <v>246</v>
      </c>
      <c r="Q71" s="148"/>
      <c r="R71" s="149">
        <v>190</v>
      </c>
      <c r="S71" s="150" t="str">
        <f t="shared" ca="1" si="13"/>
        <v>-</v>
      </c>
      <c r="T71" s="151">
        <f ca="1">OFFSET(CÁLCULO!H$15,ROW($T71)-ROW(T$15),0)</f>
        <v>0</v>
      </c>
      <c r="U71" s="152"/>
      <c r="V71" s="153" t="s">
        <v>155</v>
      </c>
      <c r="W71" s="151">
        <f t="shared" ca="1" si="14"/>
        <v>0</v>
      </c>
      <c r="X71" s="154">
        <f t="shared" ca="1" si="15"/>
        <v>0</v>
      </c>
      <c r="Y71" s="155" t="s">
        <v>244</v>
      </c>
      <c r="Z71" t="str">
        <f t="shared" ca="1" si="16"/>
        <v/>
      </c>
      <c r="AA71" s="156">
        <f ca="1">IF($C71="S",IF($Z71="CP",$X71,IF($Z71="RA",(($X71)*QCI!$AA$3),0)),SomaAgrup)</f>
        <v>0</v>
      </c>
      <c r="AB71" s="157">
        <f t="shared" ca="1" si="17"/>
        <v>0</v>
      </c>
      <c r="AC71" s="158" t="str">
        <f t="shared" ca="1" si="18"/>
        <v/>
      </c>
      <c r="AD71" s="104" t="str">
        <f ca="1">IF(C71&lt;=CRONO.NivelExibicao,MAX($AD$15:OFFSET(AD71,-1,0))+IF($C71&lt;&gt;1,1,MAX(1,COUNTIF(QCI!$A$13:$A$24,OFFSET($E71,-1,0)))),"")</f>
        <v/>
      </c>
      <c r="AE71" s="114" t="b">
        <f t="shared" ca="1" si="19"/>
        <v>0</v>
      </c>
      <c r="AF71" s="159" t="str">
        <f t="shared" ca="1" si="20"/>
        <v>(abra o arquivo 'Referência 05-2023.xls)</v>
      </c>
      <c r="AG71" s="549">
        <f t="shared" ca="1" si="21"/>
        <v>0</v>
      </c>
      <c r="AH71" s="550">
        <f t="shared" ca="1" si="22"/>
        <v>0.25</v>
      </c>
      <c r="AJ71" s="552"/>
      <c r="AL71" s="573"/>
      <c r="AM71" s="430">
        <f t="shared" ca="1" si="0"/>
        <v>0</v>
      </c>
      <c r="AN71" s="616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4</v>
      </c>
      <c r="G72">
        <f t="shared" ca="1" si="6"/>
        <v>0</v>
      </c>
      <c r="H72">
        <f t="shared" ca="1" si="7"/>
        <v>0</v>
      </c>
      <c r="I72">
        <f t="shared" ca="1" si="8"/>
        <v>1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3" t="str">
        <f t="shared" ca="1" si="10"/>
        <v/>
      </c>
      <c r="M72" s="144" t="s">
        <v>198</v>
      </c>
      <c r="N72" s="145" t="str">
        <f t="shared" ca="1" si="11"/>
        <v>Serviço</v>
      </c>
      <c r="O72" s="146" t="str">
        <f t="shared" ca="1" si="12"/>
        <v>-</v>
      </c>
      <c r="P72" s="147" t="s">
        <v>246</v>
      </c>
      <c r="Q72" s="148"/>
      <c r="R72" s="149" t="str">
        <f t="shared" ca="1" si="24"/>
        <v>(abra o arquivo 'Referência 05-2023.xls)</v>
      </c>
      <c r="S72" s="150" t="str">
        <f t="shared" ca="1" si="13"/>
        <v>-</v>
      </c>
      <c r="T72" s="151">
        <f ca="1">OFFSET(CÁLCULO!H$15,ROW($T72)-ROW(T$15),0)</f>
        <v>0</v>
      </c>
      <c r="U72" s="152"/>
      <c r="V72" s="153" t="s">
        <v>155</v>
      </c>
      <c r="W72" s="151">
        <f t="shared" ca="1" si="14"/>
        <v>0</v>
      </c>
      <c r="X72" s="154">
        <f t="shared" ca="1" si="15"/>
        <v>0</v>
      </c>
      <c r="Y72" s="155" t="s">
        <v>244</v>
      </c>
      <c r="Z72" t="str">
        <f t="shared" ca="1" si="16"/>
        <v/>
      </c>
      <c r="AA72" s="156">
        <f ca="1">IF($C72="S",IF($Z72="CP",$X72,IF($Z72="RA",(($X72)*QCI!$AA$3),0)),SomaAgrup)</f>
        <v>0</v>
      </c>
      <c r="AB72" s="157">
        <f t="shared" ca="1" si="17"/>
        <v>0</v>
      </c>
      <c r="AC72" s="158" t="str">
        <f t="shared" ca="1" si="18"/>
        <v/>
      </c>
      <c r="AD72" s="104" t="str">
        <f ca="1">IF(C72&lt;=CRONO.NivelExibicao,MAX($AD$15:OFFSET(AD72,-1,0))+IF($C72&lt;&gt;1,1,MAX(1,COUNTIF(QCI!$A$13:$A$24,OFFSET($E72,-1,0)))),"")</f>
        <v/>
      </c>
      <c r="AE72" s="114" t="b">
        <f t="shared" ca="1" si="19"/>
        <v>0</v>
      </c>
      <c r="AF72" s="159" t="str">
        <f t="shared" ca="1" si="20"/>
        <v>(abra o arquivo 'Referência 05-2023.xls)</v>
      </c>
      <c r="AG72" s="549">
        <f t="shared" ca="1" si="21"/>
        <v>0</v>
      </c>
      <c r="AH72" s="550">
        <f t="shared" ca="1" si="22"/>
        <v>0.25</v>
      </c>
      <c r="AJ72" s="552"/>
      <c r="AL72" s="573"/>
      <c r="AM72" s="430">
        <f t="shared" ca="1" si="0"/>
        <v>0</v>
      </c>
      <c r="AN72" s="616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4</v>
      </c>
      <c r="G73">
        <f t="shared" ca="1" si="6"/>
        <v>0</v>
      </c>
      <c r="H73">
        <f t="shared" ca="1" si="7"/>
        <v>0</v>
      </c>
      <c r="I73">
        <f t="shared" ca="1" si="8"/>
        <v>1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3" t="str">
        <f t="shared" ca="1" si="10"/>
        <v/>
      </c>
      <c r="M73" s="144" t="s">
        <v>198</v>
      </c>
      <c r="N73" s="145" t="str">
        <f t="shared" ca="1" si="11"/>
        <v>Serviço</v>
      </c>
      <c r="O73" s="146" t="str">
        <f t="shared" ca="1" si="12"/>
        <v>-</v>
      </c>
      <c r="P73" s="147" t="s">
        <v>246</v>
      </c>
      <c r="Q73" s="148"/>
      <c r="R73" s="149" t="str">
        <f t="shared" ca="1" si="24"/>
        <v>(abra o arquivo 'Referência 05-2023.xls)</v>
      </c>
      <c r="S73" s="150" t="str">
        <f t="shared" ca="1" si="13"/>
        <v>-</v>
      </c>
      <c r="T73" s="151">
        <f ca="1">OFFSET(CÁLCULO!H$15,ROW($T73)-ROW(T$15),0)</f>
        <v>0</v>
      </c>
      <c r="U73" s="152"/>
      <c r="V73" s="153" t="s">
        <v>155</v>
      </c>
      <c r="W73" s="151">
        <f t="shared" ca="1" si="14"/>
        <v>0</v>
      </c>
      <c r="X73" s="154">
        <f t="shared" ca="1" si="15"/>
        <v>0</v>
      </c>
      <c r="Y73" s="155" t="s">
        <v>244</v>
      </c>
      <c r="Z73" t="str">
        <f t="shared" ca="1" si="16"/>
        <v/>
      </c>
      <c r="AA73" s="156">
        <f ca="1">IF($C73="S",IF($Z73="CP",$X73,IF($Z73="RA",(($X73)*QCI!$AA$3),0)),SomaAgrup)</f>
        <v>0</v>
      </c>
      <c r="AB73" s="157">
        <f t="shared" ca="1" si="17"/>
        <v>0</v>
      </c>
      <c r="AC73" s="158" t="str">
        <f t="shared" ca="1" si="18"/>
        <v/>
      </c>
      <c r="AD73" s="104" t="str">
        <f ca="1">IF(C73&lt;=CRONO.NivelExibicao,MAX($AD$15:OFFSET(AD73,-1,0))+IF($C73&lt;&gt;1,1,MAX(1,COUNTIF(QCI!$A$13:$A$24,OFFSET($E73,-1,0)))),"")</f>
        <v/>
      </c>
      <c r="AE73" s="114" t="b">
        <f t="shared" ca="1" si="19"/>
        <v>0</v>
      </c>
      <c r="AF73" s="159" t="str">
        <f t="shared" ca="1" si="20"/>
        <v>(abra o arquivo 'Referência 05-2023.xls)</v>
      </c>
      <c r="AG73" s="549">
        <f t="shared" ca="1" si="21"/>
        <v>0</v>
      </c>
      <c r="AH73" s="550">
        <f t="shared" ca="1" si="22"/>
        <v>0.25</v>
      </c>
      <c r="AJ73" s="552"/>
      <c r="AL73" s="573"/>
      <c r="AM73" s="430">
        <f t="shared" ca="1" si="0"/>
        <v>0</v>
      </c>
      <c r="AN73" s="616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4</v>
      </c>
      <c r="G74">
        <f t="shared" ca="1" si="6"/>
        <v>0</v>
      </c>
      <c r="H74">
        <f t="shared" ca="1" si="7"/>
        <v>0</v>
      </c>
      <c r="I74">
        <f t="shared" ca="1" si="8"/>
        <v>1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3" t="str">
        <f t="shared" ca="1" si="10"/>
        <v/>
      </c>
      <c r="M74" s="144" t="s">
        <v>198</v>
      </c>
      <c r="N74" s="145" t="str">
        <f t="shared" ca="1" si="11"/>
        <v>Serviço</v>
      </c>
      <c r="O74" s="146" t="str">
        <f t="shared" ca="1" si="12"/>
        <v>-</v>
      </c>
      <c r="P74" s="147" t="s">
        <v>246</v>
      </c>
      <c r="Q74" s="148"/>
      <c r="R74" s="149" t="str">
        <f ca="1">IF($C74="S",REFERENCIA.Descricao,"(digite a descrição aqui)")</f>
        <v>(abra o arquivo 'Referência 05-2023.xls)</v>
      </c>
      <c r="S74" s="150" t="str">
        <f t="shared" ca="1" si="13"/>
        <v>-</v>
      </c>
      <c r="T74" s="151">
        <f ca="1">OFFSET(CÁLCULO!H$15,ROW($T74)-ROW(T$15),0)</f>
        <v>0</v>
      </c>
      <c r="U74" s="152"/>
      <c r="V74" s="153" t="s">
        <v>155</v>
      </c>
      <c r="W74" s="151">
        <f t="shared" ca="1" si="14"/>
        <v>0</v>
      </c>
      <c r="X74" s="154">
        <f t="shared" ca="1" si="15"/>
        <v>0</v>
      </c>
      <c r="Y74" s="155" t="s">
        <v>244</v>
      </c>
      <c r="Z74" t="str">
        <f t="shared" ca="1" si="16"/>
        <v/>
      </c>
      <c r="AA74" s="156">
        <f ca="1">IF($C74="S",IF($Z74="CP",$X74,IF($Z74="RA",(($X74)*QCI!$AA$3),0)),SomaAgrup)</f>
        <v>0</v>
      </c>
      <c r="AB74" s="157">
        <f t="shared" ca="1" si="17"/>
        <v>0</v>
      </c>
      <c r="AC74" s="158" t="str">
        <f t="shared" ca="1" si="18"/>
        <v/>
      </c>
      <c r="AD74" s="104" t="str">
        <f ca="1">IF(C74&lt;=CRONO.NivelExibicao,MAX($AD$15:OFFSET(AD74,-1,0))+IF($C74&lt;&gt;1,1,MAX(1,COUNTIF(QCI!$A$13:$A$24,OFFSET($E74,-1,0)))),"")</f>
        <v/>
      </c>
      <c r="AE74" s="114" t="b">
        <f t="shared" ca="1" si="19"/>
        <v>0</v>
      </c>
      <c r="AF74" s="159" t="str">
        <f t="shared" ca="1" si="20"/>
        <v>(abra o arquivo 'Referência 05-2023.xls)</v>
      </c>
      <c r="AG74" s="549">
        <f t="shared" ca="1" si="21"/>
        <v>0</v>
      </c>
      <c r="AH74" s="550">
        <f t="shared" ca="1" si="22"/>
        <v>0.25</v>
      </c>
      <c r="AJ74" s="552"/>
      <c r="AL74" s="573"/>
      <c r="AM74" s="430">
        <f t="shared" ca="1" si="0"/>
        <v>0</v>
      </c>
      <c r="AN74" s="616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4</v>
      </c>
      <c r="G75">
        <f t="shared" ca="1" si="6"/>
        <v>0</v>
      </c>
      <c r="H75">
        <f t="shared" ca="1" si="7"/>
        <v>0</v>
      </c>
      <c r="I75">
        <f t="shared" ca="1" si="8"/>
        <v>1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3" t="str">
        <f t="shared" ca="1" si="10"/>
        <v/>
      </c>
      <c r="M75" s="144" t="s">
        <v>198</v>
      </c>
      <c r="N75" s="145" t="str">
        <f t="shared" ca="1" si="11"/>
        <v>Serviço</v>
      </c>
      <c r="O75" s="146" t="str">
        <f t="shared" ca="1" si="12"/>
        <v>-</v>
      </c>
      <c r="P75" s="147" t="s">
        <v>246</v>
      </c>
      <c r="Q75" s="148"/>
      <c r="R75" s="149" t="str">
        <f t="shared" ca="1" si="24"/>
        <v>(abra o arquivo 'Referência 05-2023.xls)</v>
      </c>
      <c r="S75" s="150" t="str">
        <f t="shared" ca="1" si="13"/>
        <v>-</v>
      </c>
      <c r="T75" s="151">
        <f ca="1">OFFSET(CÁLCULO!H$15,ROW($T75)-ROW(T$15),0)</f>
        <v>0</v>
      </c>
      <c r="U75" s="152"/>
      <c r="V75" s="153" t="s">
        <v>155</v>
      </c>
      <c r="W75" s="151">
        <f t="shared" ca="1" si="14"/>
        <v>0</v>
      </c>
      <c r="X75" s="154">
        <f t="shared" ca="1" si="15"/>
        <v>0</v>
      </c>
      <c r="Y75" s="155" t="s">
        <v>244</v>
      </c>
      <c r="Z75" t="str">
        <f t="shared" ca="1" si="16"/>
        <v/>
      </c>
      <c r="AA75" s="156">
        <f ca="1">IF($C75="S",IF($Z75="CP",$X75,IF($Z75="RA",(($X75)*QCI!$AA$3),0)),SomaAgrup)</f>
        <v>0</v>
      </c>
      <c r="AB75" s="157">
        <f t="shared" ca="1" si="17"/>
        <v>0</v>
      </c>
      <c r="AC75" s="158" t="str">
        <f t="shared" ca="1" si="18"/>
        <v/>
      </c>
      <c r="AD75" s="104" t="str">
        <f ca="1">IF(C75&lt;=CRONO.NivelExibicao,MAX($AD$15:OFFSET(AD75,-1,0))+IF($C75&lt;&gt;1,1,MAX(1,COUNTIF(QCI!$A$13:$A$24,OFFSET($E75,-1,0)))),"")</f>
        <v/>
      </c>
      <c r="AE75" s="114" t="b">
        <f t="shared" ca="1" si="19"/>
        <v>0</v>
      </c>
      <c r="AF75" s="159" t="str">
        <f t="shared" ca="1" si="20"/>
        <v>(abra o arquivo 'Referência 05-2023.xls)</v>
      </c>
      <c r="AG75" s="549">
        <f t="shared" ca="1" si="21"/>
        <v>0</v>
      </c>
      <c r="AH75" s="550">
        <f t="shared" ca="1" si="22"/>
        <v>0.25</v>
      </c>
      <c r="AJ75" s="552"/>
      <c r="AL75" s="573"/>
      <c r="AM75" s="430">
        <f t="shared" ca="1" si="0"/>
        <v>0</v>
      </c>
      <c r="AN75" s="616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4</v>
      </c>
      <c r="G76">
        <f t="shared" ca="1" si="6"/>
        <v>0</v>
      </c>
      <c r="H76">
        <f t="shared" ca="1" si="7"/>
        <v>0</v>
      </c>
      <c r="I76">
        <f t="shared" ca="1" si="8"/>
        <v>1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3" t="str">
        <f t="shared" ca="1" si="10"/>
        <v/>
      </c>
      <c r="M76" s="144" t="s">
        <v>198</v>
      </c>
      <c r="N76" s="145" t="str">
        <f t="shared" ca="1" si="11"/>
        <v>Serviço</v>
      </c>
      <c r="O76" s="146" t="str">
        <f t="shared" ca="1" si="12"/>
        <v>-</v>
      </c>
      <c r="P76" s="147" t="s">
        <v>246</v>
      </c>
      <c r="Q76" s="148"/>
      <c r="R76" s="149" t="str">
        <f t="shared" ca="1" si="24"/>
        <v>(abra o arquivo 'Referência 05-2023.xls)</v>
      </c>
      <c r="S76" s="150" t="str">
        <f t="shared" ca="1" si="13"/>
        <v>-</v>
      </c>
      <c r="T76" s="151">
        <f ca="1">OFFSET(CÁLCULO!H$15,ROW($T76)-ROW(T$15),0)</f>
        <v>0</v>
      </c>
      <c r="U76" s="152"/>
      <c r="V76" s="153" t="s">
        <v>155</v>
      </c>
      <c r="W76" s="151">
        <f t="shared" ca="1" si="14"/>
        <v>0</v>
      </c>
      <c r="X76" s="154">
        <f t="shared" ca="1" si="15"/>
        <v>0</v>
      </c>
      <c r="Y76" s="155" t="s">
        <v>244</v>
      </c>
      <c r="Z76" t="str">
        <f t="shared" ca="1" si="16"/>
        <v/>
      </c>
      <c r="AA76" s="156">
        <f ca="1">IF($C76="S",IF($Z76="CP",$X76,IF($Z76="RA",(($X76)*QCI!$AA$3),0)),SomaAgrup)</f>
        <v>0</v>
      </c>
      <c r="AB76" s="157">
        <f t="shared" ca="1" si="17"/>
        <v>0</v>
      </c>
      <c r="AC76" s="158" t="str">
        <f t="shared" ca="1" si="18"/>
        <v/>
      </c>
      <c r="AD76" s="104" t="str">
        <f ca="1">IF(C76&lt;=CRONO.NivelExibicao,MAX($AD$15:OFFSET(AD76,-1,0))+IF($C76&lt;&gt;1,1,MAX(1,COUNTIF(QCI!$A$13:$A$24,OFFSET($E76,-1,0)))),"")</f>
        <v/>
      </c>
      <c r="AE76" s="114" t="b">
        <f t="shared" ca="1" si="19"/>
        <v>0</v>
      </c>
      <c r="AF76" s="159" t="str">
        <f t="shared" ca="1" si="20"/>
        <v>(abra o arquivo 'Referência 05-2023.xls)</v>
      </c>
      <c r="AG76" s="549">
        <f t="shared" ca="1" si="21"/>
        <v>0</v>
      </c>
      <c r="AH76" s="550">
        <f t="shared" ca="1" si="22"/>
        <v>0.25</v>
      </c>
      <c r="AJ76" s="552"/>
      <c r="AL76" s="573"/>
      <c r="AM76" s="430">
        <f t="shared" ca="1" si="0"/>
        <v>0</v>
      </c>
      <c r="AN76" s="616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4</v>
      </c>
      <c r="G77">
        <f t="shared" ca="1" si="6"/>
        <v>0</v>
      </c>
      <c r="H77">
        <f t="shared" ca="1" si="7"/>
        <v>0</v>
      </c>
      <c r="I77">
        <f t="shared" ca="1" si="8"/>
        <v>1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3" t="str">
        <f t="shared" ca="1" si="10"/>
        <v/>
      </c>
      <c r="M77" s="144" t="s">
        <v>198</v>
      </c>
      <c r="N77" s="145" t="str">
        <f t="shared" ca="1" si="11"/>
        <v>Serviço</v>
      </c>
      <c r="O77" s="146" t="str">
        <f t="shared" ca="1" si="12"/>
        <v>-</v>
      </c>
      <c r="P77" s="147" t="s">
        <v>246</v>
      </c>
      <c r="Q77" s="148"/>
      <c r="R77" s="149" t="str">
        <f t="shared" ca="1" si="24"/>
        <v>(abra o arquivo 'Referência 05-2023.xls)</v>
      </c>
      <c r="S77" s="150" t="str">
        <f t="shared" ca="1" si="13"/>
        <v>-</v>
      </c>
      <c r="T77" s="151">
        <f ca="1">OFFSET(CÁLCULO!H$15,ROW($T77)-ROW(T$15),0)</f>
        <v>0</v>
      </c>
      <c r="U77" s="152"/>
      <c r="V77" s="153" t="s">
        <v>155</v>
      </c>
      <c r="W77" s="151">
        <f t="shared" ca="1" si="14"/>
        <v>0</v>
      </c>
      <c r="X77" s="154">
        <f t="shared" ca="1" si="15"/>
        <v>0</v>
      </c>
      <c r="Y77" s="155" t="s">
        <v>244</v>
      </c>
      <c r="Z77" t="str">
        <f t="shared" ca="1" si="16"/>
        <v/>
      </c>
      <c r="AA77" s="156">
        <f ca="1">IF($C77="S",IF($Z77="CP",$X77,IF($Z77="RA",(($X77)*QCI!$AA$3),0)),SomaAgrup)</f>
        <v>0</v>
      </c>
      <c r="AB77" s="157">
        <f t="shared" ca="1" si="17"/>
        <v>0</v>
      </c>
      <c r="AC77" s="158" t="str">
        <f t="shared" ca="1" si="18"/>
        <v/>
      </c>
      <c r="AD77" s="104" t="str">
        <f ca="1">IF(C77&lt;=CRONO.NivelExibicao,MAX($AD$15:OFFSET(AD77,-1,0))+IF($C77&lt;&gt;1,1,MAX(1,COUNTIF(QCI!$A$13:$A$24,OFFSET($E77,-1,0)))),"")</f>
        <v/>
      </c>
      <c r="AE77" s="114" t="b">
        <f t="shared" ca="1" si="19"/>
        <v>0</v>
      </c>
      <c r="AF77" s="159" t="str">
        <f t="shared" ca="1" si="20"/>
        <v>(abra o arquivo 'Referência 05-2023.xls)</v>
      </c>
      <c r="AG77" s="549">
        <f t="shared" ca="1" si="21"/>
        <v>0</v>
      </c>
      <c r="AH77" s="550">
        <f t="shared" ca="1" si="22"/>
        <v>0.25</v>
      </c>
      <c r="AJ77" s="552"/>
      <c r="AL77" s="573"/>
      <c r="AM77" s="430">
        <f t="shared" ca="1" si="0"/>
        <v>0</v>
      </c>
      <c r="AN77" s="616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4</v>
      </c>
      <c r="G78">
        <f t="shared" ca="1" si="6"/>
        <v>0</v>
      </c>
      <c r="H78">
        <f t="shared" ca="1" si="7"/>
        <v>0</v>
      </c>
      <c r="I78">
        <f t="shared" ca="1" si="8"/>
        <v>1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3" t="str">
        <f t="shared" ca="1" si="10"/>
        <v/>
      </c>
      <c r="M78" s="144" t="s">
        <v>198</v>
      </c>
      <c r="N78" s="145" t="str">
        <f t="shared" ca="1" si="11"/>
        <v>Serviço</v>
      </c>
      <c r="O78" s="146" t="str">
        <f t="shared" ca="1" si="12"/>
        <v>-</v>
      </c>
      <c r="P78" s="147" t="s">
        <v>246</v>
      </c>
      <c r="Q78" s="148"/>
      <c r="R78" s="149" t="str">
        <f t="shared" ca="1" si="24"/>
        <v>(abra o arquivo 'Referência 05-2023.xls)</v>
      </c>
      <c r="S78" s="150" t="str">
        <f t="shared" ca="1" si="13"/>
        <v>-</v>
      </c>
      <c r="T78" s="151">
        <f ca="1">OFFSET(CÁLCULO!H$15,ROW($T78)-ROW(T$15),0)</f>
        <v>0</v>
      </c>
      <c r="U78" s="152"/>
      <c r="V78" s="153" t="s">
        <v>155</v>
      </c>
      <c r="W78" s="151">
        <f t="shared" ca="1" si="14"/>
        <v>0</v>
      </c>
      <c r="X78" s="154">
        <f t="shared" ca="1" si="15"/>
        <v>0</v>
      </c>
      <c r="Y78" s="155" t="s">
        <v>244</v>
      </c>
      <c r="Z78" t="str">
        <f t="shared" ca="1" si="16"/>
        <v/>
      </c>
      <c r="AA78" s="156">
        <f ca="1">IF($C78="S",IF($Z78="CP",$X78,IF($Z78="RA",(($X78)*QCI!$AA$3),0)),SomaAgrup)</f>
        <v>0</v>
      </c>
      <c r="AB78" s="157">
        <f t="shared" ca="1" si="17"/>
        <v>0</v>
      </c>
      <c r="AC78" s="158" t="str">
        <f t="shared" ca="1" si="18"/>
        <v/>
      </c>
      <c r="AD78" s="104" t="str">
        <f ca="1">IF(C78&lt;=CRONO.NivelExibicao,MAX($AD$15:OFFSET(AD78,-1,0))+IF($C78&lt;&gt;1,1,MAX(1,COUNTIF(QCI!$A$13:$A$24,OFFSET($E78,-1,0)))),"")</f>
        <v/>
      </c>
      <c r="AE78" s="114" t="b">
        <f t="shared" ca="1" si="19"/>
        <v>0</v>
      </c>
      <c r="AF78" s="159" t="str">
        <f t="shared" ca="1" si="20"/>
        <v>(abra o arquivo 'Referência 05-2023.xls)</v>
      </c>
      <c r="AG78" s="549">
        <f t="shared" ca="1" si="21"/>
        <v>0</v>
      </c>
      <c r="AH78" s="550">
        <f t="shared" ca="1" si="22"/>
        <v>0.25</v>
      </c>
      <c r="AJ78" s="552"/>
      <c r="AL78" s="573"/>
      <c r="AM78" s="430">
        <f ca="1">$X78</f>
        <v>0</v>
      </c>
      <c r="AN78" s="616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4</v>
      </c>
      <c r="G79">
        <f t="shared" ca="1" si="6"/>
        <v>0</v>
      </c>
      <c r="H79">
        <f t="shared" ca="1" si="7"/>
        <v>0</v>
      </c>
      <c r="I79">
        <f t="shared" ca="1" si="8"/>
        <v>1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3" t="str">
        <f t="shared" ca="1" si="10"/>
        <v/>
      </c>
      <c r="M79" s="144" t="s">
        <v>198</v>
      </c>
      <c r="N79" s="145" t="str">
        <f t="shared" ca="1" si="11"/>
        <v>Serviço</v>
      </c>
      <c r="O79" s="146" t="str">
        <f t="shared" ca="1" si="12"/>
        <v>-</v>
      </c>
      <c r="P79" s="147" t="s">
        <v>246</v>
      </c>
      <c r="Q79" s="148"/>
      <c r="R79" s="149" t="str">
        <f t="shared" ca="1" si="24"/>
        <v>(abra o arquivo 'Referência 05-2023.xls)</v>
      </c>
      <c r="S79" s="150" t="str">
        <f t="shared" ca="1" si="13"/>
        <v>-</v>
      </c>
      <c r="T79" s="151">
        <f ca="1">OFFSET(CÁLCULO!H$15,ROW($T79)-ROW(T$15),0)</f>
        <v>0</v>
      </c>
      <c r="U79" s="152"/>
      <c r="V79" s="153" t="s">
        <v>155</v>
      </c>
      <c r="W79" s="151">
        <f t="shared" ca="1" si="14"/>
        <v>0</v>
      </c>
      <c r="X79" s="154">
        <f t="shared" ca="1" si="15"/>
        <v>0</v>
      </c>
      <c r="Y79" s="155" t="s">
        <v>244</v>
      </c>
      <c r="Z79" t="str">
        <f t="shared" ca="1" si="16"/>
        <v/>
      </c>
      <c r="AA79" s="156">
        <f ca="1">IF($C79="S",IF($Z79="CP",$X79,IF($Z79="RA",(($X79)*QCI!$AA$3),0)),SomaAgrup)</f>
        <v>0</v>
      </c>
      <c r="AB79" s="157">
        <f t="shared" ca="1" si="17"/>
        <v>0</v>
      </c>
      <c r="AC79" s="158" t="str">
        <f t="shared" ca="1" si="18"/>
        <v/>
      </c>
      <c r="AD79" s="104" t="str">
        <f ca="1">IF(C79&lt;=CRONO.NivelExibicao,MAX($AD$15:OFFSET(AD79,-1,0))+IF($C79&lt;&gt;1,1,MAX(1,COUNTIF(QCI!$A$13:$A$24,OFFSET($E79,-1,0)))),"")</f>
        <v/>
      </c>
      <c r="AE79" s="114" t="b">
        <f t="shared" ca="1" si="19"/>
        <v>0</v>
      </c>
      <c r="AF79" s="159" t="str">
        <f t="shared" ca="1" si="20"/>
        <v>(abra o arquivo 'Referência 05-2023.xls)</v>
      </c>
      <c r="AG79" s="549">
        <f t="shared" ca="1" si="21"/>
        <v>0</v>
      </c>
      <c r="AH79" s="550">
        <f t="shared" ca="1" si="22"/>
        <v>0.25</v>
      </c>
      <c r="AJ79" s="552"/>
      <c r="AL79" s="573"/>
      <c r="AM79" s="430">
        <f t="shared" ca="1" si="0"/>
        <v>0</v>
      </c>
      <c r="AN79" s="616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4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3" t="str">
        <f t="shared" ref="L80:L143" ca="1" si="34">IF(OR($X80&gt;0,$C80=1,$C80=2,$C80=3,$C80=4),"F","")</f>
        <v/>
      </c>
      <c r="M80" s="144" t="s">
        <v>198</v>
      </c>
      <c r="N80" s="145" t="str">
        <f t="shared" ref="N80:N143" ca="1" si="35">CHOOSE(1+LOG(1+2*(C80=1)+4*(C80=2)+8*(C80=3)+16*(C80=4)+32*(C80="S"),2),"","Meta","Nível 2","Nível 3","Nível 4","Serviço")</f>
        <v>Serviço</v>
      </c>
      <c r="O80" s="146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7" t="s">
        <v>246</v>
      </c>
      <c r="Q80" s="148"/>
      <c r="R80" s="149" t="str">
        <f t="shared" ref="R80:R143" ca="1" si="37">IF($C80="S",REFERENCIA.Descricao,"(digite a descrição aqui)")</f>
        <v>(abra o arquivo 'Referência 05-2023.xls)</v>
      </c>
      <c r="S80" s="150" t="str">
        <f t="shared" ref="S80:S143" ca="1" si="38">REFERENCIA.Unidade</f>
        <v>-</v>
      </c>
      <c r="T80" s="151">
        <f ca="1">OFFSET(CÁLCULO!H$15,ROW($T80)-ROW(T$15),0)</f>
        <v>0</v>
      </c>
      <c r="U80" s="152"/>
      <c r="V80" s="153" t="s">
        <v>155</v>
      </c>
      <c r="W80" s="151">
        <f t="shared" ref="W80:W143" ca="1" si="39">IF($C80="S",ROUND(IF(TIPOORCAMENTO="Proposto",ORÇAMENTO.CustoUnitario*(1+$AH80),ORÇAMENTO.PrecoUnitarioLicitado),15-13*$AF$10),0)</f>
        <v>0</v>
      </c>
      <c r="X80" s="154">
        <f t="shared" ref="X80:X143" ca="1" si="40">IF($C80="S",VTOTAL1,IF($C80=0,0,ROUND(SomaAgrup,15-13*$AF$11)))</f>
        <v>0</v>
      </c>
      <c r="Y80" s="155" t="s">
        <v>244</v>
      </c>
      <c r="Z80" t="str">
        <f t="shared" ref="Z80:Z143" ca="1" si="41">IF(AND($C80="S",$X80&gt;0),IF(ISBLANK($Y80),"RA",LEFT($Y80,2)),"")</f>
        <v/>
      </c>
      <c r="AA80" s="156">
        <f ca="1">IF($C80="S",IF($Z80="CP",$X80,IF($Z80="RA",(($X80)*QCI!$AA$3),0)),SomaAgrup)</f>
        <v>0</v>
      </c>
      <c r="AB80" s="157">
        <f t="shared" ref="AB80:AB143" ca="1" si="42">IF($C80="S",IF($Z80="OU",ROUND($X80,2),0),SomaAgrup)</f>
        <v>0</v>
      </c>
      <c r="AC80" s="158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4" t="str">
        <f ca="1">IF(C80&lt;=CRONO.NivelExibicao,MAX($AD$15:OFFSET(AD80,-1,0))+IF($C80&lt;&gt;1,1,MAX(1,COUNTIF(QCI!$A$13:$A$24,OFFSET($E80,-1,0)))),"")</f>
        <v/>
      </c>
      <c r="AE80" s="114" t="b">
        <f t="shared" ref="AE80:AE143" ca="1" si="44">IF(AND($C80="S",ORÇAMENTO.CodBarra&lt;&gt;""),IF(ORÇAMENTO.Fonte="",ORÇAMENTO.CodBarra,CONCATENATE(ORÇAMENTO.Fonte," ",ORÇAMENTO.CodBarra)))</f>
        <v>0</v>
      </c>
      <c r="AF80" s="159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(abra o arquivo 'Referência 05-2023.xls)</v>
      </c>
      <c r="AG80" s="549">
        <f t="shared" ref="AG80:AG143" ca="1" si="46">ROUND(IF(DESONERACAO="sim",REFERENCIA.Desonerado,REFERENCIA.NaoDesonerado),2)</f>
        <v>0</v>
      </c>
      <c r="AH80" s="550">
        <f t="shared" ref="AH80:AH143" ca="1" si="47">ROUND(IF(ISNUMBER(ORÇAMENTO.OpcaoBDI),ORÇAMENTO.OpcaoBDI,IF(LEFT(ORÇAMENTO.OpcaoBDI,3)="BDI",HLOOKUP(ORÇAMENTO.OpcaoBDI,$F$4:$H$5,2,FALSE),0)),15-11*$AF$9)</f>
        <v>0.25</v>
      </c>
      <c r="AJ80" s="552"/>
      <c r="AL80" s="573"/>
      <c r="AM80" s="430">
        <f t="shared" ref="AM80:AM143" ca="1" si="48">$X80</f>
        <v>0</v>
      </c>
      <c r="AN80" s="616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4</v>
      </c>
      <c r="G81">
        <f t="shared" ca="1" si="30"/>
        <v>0</v>
      </c>
      <c r="H81">
        <f t="shared" ca="1" si="31"/>
        <v>0</v>
      </c>
      <c r="I81">
        <f t="shared" ca="1" si="32"/>
        <v>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3" t="str">
        <f t="shared" ca="1" si="34"/>
        <v/>
      </c>
      <c r="M81" s="144" t="s">
        <v>198</v>
      </c>
      <c r="N81" s="145" t="str">
        <f t="shared" ca="1" si="35"/>
        <v>Serviço</v>
      </c>
      <c r="O81" s="146" t="str">
        <f t="shared" ca="1" si="36"/>
        <v>-</v>
      </c>
      <c r="P81" s="147" t="s">
        <v>246</v>
      </c>
      <c r="Q81" s="148"/>
      <c r="R81" s="149" t="str">
        <f t="shared" ca="1" si="37"/>
        <v>(abra o arquivo 'Referência 05-2023.xls)</v>
      </c>
      <c r="S81" s="150" t="str">
        <f t="shared" ca="1" si="38"/>
        <v>-</v>
      </c>
      <c r="T81" s="151">
        <f ca="1">OFFSET(CÁLCULO!H$15,ROW($T81)-ROW(T$15),0)</f>
        <v>0</v>
      </c>
      <c r="U81" s="152"/>
      <c r="V81" s="153" t="s">
        <v>155</v>
      </c>
      <c r="W81" s="151">
        <f t="shared" ca="1" si="39"/>
        <v>0</v>
      </c>
      <c r="X81" s="154">
        <f t="shared" ca="1" si="40"/>
        <v>0</v>
      </c>
      <c r="Y81" s="155" t="s">
        <v>244</v>
      </c>
      <c r="Z81" t="str">
        <f t="shared" ca="1" si="41"/>
        <v/>
      </c>
      <c r="AA81" s="156">
        <f ca="1">IF($C81="S",IF($Z81="CP",$X81,IF($Z81="RA",(($X81)*QCI!$AA$3),0)),SomaAgrup)</f>
        <v>0</v>
      </c>
      <c r="AB81" s="157">
        <f t="shared" ca="1" si="42"/>
        <v>0</v>
      </c>
      <c r="AC81" s="158" t="str">
        <f t="shared" ca="1" si="43"/>
        <v/>
      </c>
      <c r="AD81" s="104" t="str">
        <f ca="1">IF(C81&lt;=CRONO.NivelExibicao,MAX($AD$15:OFFSET(AD81,-1,0))+IF($C81&lt;&gt;1,1,MAX(1,COUNTIF(QCI!$A$13:$A$24,OFFSET($E81,-1,0)))),"")</f>
        <v/>
      </c>
      <c r="AE81" s="114" t="b">
        <f t="shared" ca="1" si="44"/>
        <v>0</v>
      </c>
      <c r="AF81" s="159" t="str">
        <f t="shared" ca="1" si="45"/>
        <v>(abra o arquivo 'Referência 05-2023.xls)</v>
      </c>
      <c r="AG81" s="549">
        <f t="shared" ca="1" si="46"/>
        <v>0</v>
      </c>
      <c r="AH81" s="550">
        <f t="shared" ca="1" si="47"/>
        <v>0.25</v>
      </c>
      <c r="AJ81" s="552"/>
      <c r="AL81" s="573"/>
      <c r="AM81" s="430">
        <f t="shared" ca="1" si="48"/>
        <v>0</v>
      </c>
      <c r="AN81" s="616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4</v>
      </c>
      <c r="G82">
        <f t="shared" ca="1" si="30"/>
        <v>0</v>
      </c>
      <c r="H82">
        <f t="shared" ca="1" si="31"/>
        <v>0</v>
      </c>
      <c r="I82">
        <f t="shared" ca="1" si="32"/>
        <v>1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3" t="str">
        <f t="shared" ca="1" si="34"/>
        <v/>
      </c>
      <c r="M82" s="144" t="s">
        <v>198</v>
      </c>
      <c r="N82" s="145" t="str">
        <f t="shared" ca="1" si="35"/>
        <v>Serviço</v>
      </c>
      <c r="O82" s="146" t="str">
        <f t="shared" ca="1" si="36"/>
        <v>-</v>
      </c>
      <c r="P82" s="147" t="s">
        <v>246</v>
      </c>
      <c r="Q82" s="148"/>
      <c r="R82" s="149" t="str">
        <f t="shared" ca="1" si="37"/>
        <v>(abra o arquivo 'Referência 05-2023.xls)</v>
      </c>
      <c r="S82" s="150" t="str">
        <f t="shared" ca="1" si="38"/>
        <v>-</v>
      </c>
      <c r="T82" s="151">
        <f ca="1">OFFSET(CÁLCULO!H$15,ROW($T82)-ROW(T$15),0)</f>
        <v>0</v>
      </c>
      <c r="U82" s="152"/>
      <c r="V82" s="153" t="s">
        <v>155</v>
      </c>
      <c r="W82" s="151">
        <f t="shared" ca="1" si="39"/>
        <v>0</v>
      </c>
      <c r="X82" s="154">
        <f t="shared" ca="1" si="40"/>
        <v>0</v>
      </c>
      <c r="Y82" s="155" t="s">
        <v>244</v>
      </c>
      <c r="Z82" t="str">
        <f t="shared" ca="1" si="41"/>
        <v/>
      </c>
      <c r="AA82" s="156">
        <f ca="1">IF($C82="S",IF($Z82="CP",$X82,IF($Z82="RA",(($X82)*QCI!$AA$3),0)),SomaAgrup)</f>
        <v>0</v>
      </c>
      <c r="AB82" s="157">
        <f t="shared" ca="1" si="42"/>
        <v>0</v>
      </c>
      <c r="AC82" s="158" t="str">
        <f t="shared" ca="1" si="43"/>
        <v/>
      </c>
      <c r="AD82" s="104" t="str">
        <f ca="1">IF(C82&lt;=CRONO.NivelExibicao,MAX($AD$15:OFFSET(AD82,-1,0))+IF($C82&lt;&gt;1,1,MAX(1,COUNTIF(QCI!$A$13:$A$24,OFFSET($E82,-1,0)))),"")</f>
        <v/>
      </c>
      <c r="AE82" s="114" t="b">
        <f t="shared" ca="1" si="44"/>
        <v>0</v>
      </c>
      <c r="AF82" s="159" t="str">
        <f t="shared" ca="1" si="45"/>
        <v>(abra o arquivo 'Referência 05-2023.xls)</v>
      </c>
      <c r="AG82" s="549">
        <f t="shared" ca="1" si="46"/>
        <v>0</v>
      </c>
      <c r="AH82" s="550">
        <f t="shared" ca="1" si="47"/>
        <v>0.25</v>
      </c>
      <c r="AJ82" s="552"/>
      <c r="AL82" s="573"/>
      <c r="AM82" s="430">
        <f t="shared" ca="1" si="48"/>
        <v>0</v>
      </c>
      <c r="AN82" s="616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4</v>
      </c>
      <c r="G83">
        <f t="shared" ca="1" si="30"/>
        <v>0</v>
      </c>
      <c r="H83">
        <f t="shared" ca="1" si="31"/>
        <v>0</v>
      </c>
      <c r="I83">
        <f t="shared" ca="1" si="32"/>
        <v>1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3" t="str">
        <f t="shared" ca="1" si="34"/>
        <v/>
      </c>
      <c r="M83" s="144" t="s">
        <v>198</v>
      </c>
      <c r="N83" s="145" t="str">
        <f t="shared" ca="1" si="35"/>
        <v>Serviço</v>
      </c>
      <c r="O83" s="146" t="str">
        <f t="shared" ca="1" si="36"/>
        <v>-</v>
      </c>
      <c r="P83" s="147" t="s">
        <v>246</v>
      </c>
      <c r="Q83" s="148"/>
      <c r="R83" s="149" t="str">
        <f t="shared" ca="1" si="37"/>
        <v>(abra o arquivo 'Referência 05-2023.xls)</v>
      </c>
      <c r="S83" s="150" t="str">
        <f t="shared" ca="1" si="38"/>
        <v>-</v>
      </c>
      <c r="T83" s="151">
        <f ca="1">OFFSET(CÁLCULO!H$15,ROW($T83)-ROW(T$15),0)</f>
        <v>0</v>
      </c>
      <c r="U83" s="152"/>
      <c r="V83" s="153" t="s">
        <v>155</v>
      </c>
      <c r="W83" s="151">
        <f t="shared" ca="1" si="39"/>
        <v>0</v>
      </c>
      <c r="X83" s="154">
        <f t="shared" ca="1" si="40"/>
        <v>0</v>
      </c>
      <c r="Y83" s="155" t="s">
        <v>244</v>
      </c>
      <c r="Z83" t="str">
        <f t="shared" ca="1" si="41"/>
        <v/>
      </c>
      <c r="AA83" s="156">
        <f ca="1">IF($C83="S",IF($Z83="CP",$X83,IF($Z83="RA",(($X83)*QCI!$AA$3),0)),SomaAgrup)</f>
        <v>0</v>
      </c>
      <c r="AB83" s="157">
        <f t="shared" ca="1" si="42"/>
        <v>0</v>
      </c>
      <c r="AC83" s="158" t="str">
        <f t="shared" ca="1" si="43"/>
        <v/>
      </c>
      <c r="AD83" s="104" t="str">
        <f ca="1">IF(C83&lt;=CRONO.NivelExibicao,MAX($AD$15:OFFSET(AD83,-1,0))+IF($C83&lt;&gt;1,1,MAX(1,COUNTIF(QCI!$A$13:$A$24,OFFSET($E83,-1,0)))),"")</f>
        <v/>
      </c>
      <c r="AE83" s="114" t="b">
        <f t="shared" ca="1" si="44"/>
        <v>0</v>
      </c>
      <c r="AF83" s="159" t="str">
        <f t="shared" ca="1" si="45"/>
        <v>(abra o arquivo 'Referência 05-2023.xls)</v>
      </c>
      <c r="AG83" s="549">
        <f t="shared" ca="1" si="46"/>
        <v>0</v>
      </c>
      <c r="AH83" s="550">
        <f t="shared" ca="1" si="47"/>
        <v>0.25</v>
      </c>
      <c r="AJ83" s="552"/>
      <c r="AL83" s="573"/>
      <c r="AM83" s="430">
        <f t="shared" ca="1" si="48"/>
        <v>0</v>
      </c>
      <c r="AN83" s="616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4</v>
      </c>
      <c r="G84">
        <f t="shared" ca="1" si="30"/>
        <v>0</v>
      </c>
      <c r="H84">
        <f t="shared" ca="1" si="31"/>
        <v>0</v>
      </c>
      <c r="I84">
        <f t="shared" ca="1" si="32"/>
        <v>1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3" t="str">
        <f t="shared" ca="1" si="34"/>
        <v/>
      </c>
      <c r="M84" s="144" t="s">
        <v>198</v>
      </c>
      <c r="N84" s="145" t="str">
        <f t="shared" ca="1" si="35"/>
        <v>Serviço</v>
      </c>
      <c r="O84" s="146" t="str">
        <f t="shared" ca="1" si="36"/>
        <v>-</v>
      </c>
      <c r="P84" s="147" t="s">
        <v>246</v>
      </c>
      <c r="Q84" s="148"/>
      <c r="R84" s="149" t="str">
        <f t="shared" ca="1" si="37"/>
        <v>(abra o arquivo 'Referência 05-2023.xls)</v>
      </c>
      <c r="S84" s="150" t="str">
        <f t="shared" ca="1" si="38"/>
        <v>-</v>
      </c>
      <c r="T84" s="151">
        <f ca="1">OFFSET(CÁLCULO!H$15,ROW($T84)-ROW(T$15),0)</f>
        <v>0</v>
      </c>
      <c r="U84" s="152"/>
      <c r="V84" s="153" t="s">
        <v>155</v>
      </c>
      <c r="W84" s="151">
        <f t="shared" ca="1" si="39"/>
        <v>0</v>
      </c>
      <c r="X84" s="154">
        <f t="shared" ca="1" si="40"/>
        <v>0</v>
      </c>
      <c r="Y84" s="155" t="s">
        <v>244</v>
      </c>
      <c r="Z84" t="str">
        <f t="shared" ca="1" si="41"/>
        <v/>
      </c>
      <c r="AA84" s="156">
        <f ca="1">IF($C84="S",IF($Z84="CP",$X84,IF($Z84="RA",(($X84)*QCI!$AA$3),0)),SomaAgrup)</f>
        <v>0</v>
      </c>
      <c r="AB84" s="157">
        <f t="shared" ca="1" si="42"/>
        <v>0</v>
      </c>
      <c r="AC84" s="158" t="str">
        <f t="shared" ca="1" si="43"/>
        <v/>
      </c>
      <c r="AD84" s="104" t="str">
        <f ca="1">IF(C84&lt;=CRONO.NivelExibicao,MAX($AD$15:OFFSET(AD84,-1,0))+IF($C84&lt;&gt;1,1,MAX(1,COUNTIF(QCI!$A$13:$A$24,OFFSET($E84,-1,0)))),"")</f>
        <v/>
      </c>
      <c r="AE84" s="114" t="b">
        <f t="shared" ca="1" si="44"/>
        <v>0</v>
      </c>
      <c r="AF84" s="159" t="str">
        <f t="shared" ca="1" si="45"/>
        <v>(abra o arquivo 'Referência 05-2023.xls)</v>
      </c>
      <c r="AG84" s="549">
        <f t="shared" ca="1" si="46"/>
        <v>0</v>
      </c>
      <c r="AH84" s="550">
        <f t="shared" ca="1" si="47"/>
        <v>0.25</v>
      </c>
      <c r="AJ84" s="552"/>
      <c r="AL84" s="573"/>
      <c r="AM84" s="430">
        <f t="shared" ca="1" si="48"/>
        <v>0</v>
      </c>
      <c r="AN84" s="616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4</v>
      </c>
      <c r="G85">
        <f t="shared" ca="1" si="30"/>
        <v>0</v>
      </c>
      <c r="H85">
        <f t="shared" ca="1" si="31"/>
        <v>0</v>
      </c>
      <c r="I85">
        <f t="shared" ca="1" si="32"/>
        <v>1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3" t="str">
        <f t="shared" ca="1" si="34"/>
        <v/>
      </c>
      <c r="M85" s="144" t="s">
        <v>198</v>
      </c>
      <c r="N85" s="145" t="str">
        <f t="shared" ca="1" si="35"/>
        <v>Serviço</v>
      </c>
      <c r="O85" s="146" t="str">
        <f t="shared" ca="1" si="36"/>
        <v>-</v>
      </c>
      <c r="P85" s="147" t="s">
        <v>246</v>
      </c>
      <c r="Q85" s="148"/>
      <c r="R85" s="149" t="str">
        <f t="shared" ca="1" si="37"/>
        <v>(abra o arquivo 'Referência 05-2023.xls)</v>
      </c>
      <c r="S85" s="150" t="str">
        <f t="shared" ca="1" si="38"/>
        <v>-</v>
      </c>
      <c r="T85" s="151">
        <f ca="1">OFFSET(CÁLCULO!H$15,ROW($T85)-ROW(T$15),0)</f>
        <v>0</v>
      </c>
      <c r="U85" s="152"/>
      <c r="V85" s="153" t="s">
        <v>155</v>
      </c>
      <c r="W85" s="151">
        <f t="shared" ca="1" si="39"/>
        <v>0</v>
      </c>
      <c r="X85" s="154">
        <f t="shared" ca="1" si="40"/>
        <v>0</v>
      </c>
      <c r="Y85" s="155" t="s">
        <v>244</v>
      </c>
      <c r="Z85" t="str">
        <f t="shared" ca="1" si="41"/>
        <v/>
      </c>
      <c r="AA85" s="156">
        <f ca="1">IF($C85="S",IF($Z85="CP",$X85,IF($Z85="RA",(($X85)*QCI!$AA$3),0)),SomaAgrup)</f>
        <v>0</v>
      </c>
      <c r="AB85" s="157">
        <f t="shared" ca="1" si="42"/>
        <v>0</v>
      </c>
      <c r="AC85" s="158" t="str">
        <f t="shared" ca="1" si="43"/>
        <v/>
      </c>
      <c r="AD85" s="104" t="str">
        <f ca="1">IF(C85&lt;=CRONO.NivelExibicao,MAX($AD$15:OFFSET(AD85,-1,0))+IF($C85&lt;&gt;1,1,MAX(1,COUNTIF(QCI!$A$13:$A$24,OFFSET($E85,-1,0)))),"")</f>
        <v/>
      </c>
      <c r="AE85" s="114" t="b">
        <f t="shared" ca="1" si="44"/>
        <v>0</v>
      </c>
      <c r="AF85" s="159" t="str">
        <f t="shared" ca="1" si="45"/>
        <v>(abra o arquivo 'Referência 05-2023.xls)</v>
      </c>
      <c r="AG85" s="549">
        <f t="shared" ca="1" si="46"/>
        <v>0</v>
      </c>
      <c r="AH85" s="550">
        <f t="shared" ca="1" si="47"/>
        <v>0.25</v>
      </c>
      <c r="AJ85" s="552"/>
      <c r="AL85" s="573"/>
      <c r="AM85" s="430">
        <f t="shared" ca="1" si="48"/>
        <v>0</v>
      </c>
      <c r="AN85" s="616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4</v>
      </c>
      <c r="G86">
        <f t="shared" ca="1" si="30"/>
        <v>0</v>
      </c>
      <c r="H86">
        <f t="shared" ca="1" si="31"/>
        <v>0</v>
      </c>
      <c r="I86">
        <f t="shared" ca="1" si="32"/>
        <v>1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3" t="str">
        <f t="shared" ca="1" si="34"/>
        <v/>
      </c>
      <c r="M86" s="144" t="s">
        <v>198</v>
      </c>
      <c r="N86" s="145" t="str">
        <f t="shared" ca="1" si="35"/>
        <v>Serviço</v>
      </c>
      <c r="O86" s="146" t="str">
        <f t="shared" ca="1" si="36"/>
        <v>-</v>
      </c>
      <c r="P86" s="147" t="s">
        <v>246</v>
      </c>
      <c r="Q86" s="148"/>
      <c r="R86" s="149" t="str">
        <f t="shared" ca="1" si="37"/>
        <v>(abra o arquivo 'Referência 05-2023.xls)</v>
      </c>
      <c r="S86" s="150" t="str">
        <f t="shared" ca="1" si="38"/>
        <v>-</v>
      </c>
      <c r="T86" s="151">
        <f ca="1">OFFSET(CÁLCULO!H$15,ROW($T86)-ROW(T$15),0)</f>
        <v>0</v>
      </c>
      <c r="U86" s="152"/>
      <c r="V86" s="153" t="s">
        <v>155</v>
      </c>
      <c r="W86" s="151">
        <f t="shared" ca="1" si="39"/>
        <v>0</v>
      </c>
      <c r="X86" s="154">
        <f t="shared" ca="1" si="40"/>
        <v>0</v>
      </c>
      <c r="Y86" s="155" t="s">
        <v>244</v>
      </c>
      <c r="Z86" t="str">
        <f t="shared" ca="1" si="41"/>
        <v/>
      </c>
      <c r="AA86" s="156">
        <f ca="1">IF($C86="S",IF($Z86="CP",$X86,IF($Z86="RA",(($X86)*QCI!$AA$3),0)),SomaAgrup)</f>
        <v>0</v>
      </c>
      <c r="AB86" s="157">
        <f t="shared" ca="1" si="42"/>
        <v>0</v>
      </c>
      <c r="AC86" s="158" t="str">
        <f t="shared" ca="1" si="43"/>
        <v/>
      </c>
      <c r="AD86" s="104" t="str">
        <f ca="1">IF(C86&lt;=CRONO.NivelExibicao,MAX($AD$15:OFFSET(AD86,-1,0))+IF($C86&lt;&gt;1,1,MAX(1,COUNTIF(QCI!$A$13:$A$24,OFFSET($E86,-1,0)))),"")</f>
        <v/>
      </c>
      <c r="AE86" s="114" t="b">
        <f t="shared" ca="1" si="44"/>
        <v>0</v>
      </c>
      <c r="AF86" s="159" t="str">
        <f t="shared" ca="1" si="45"/>
        <v>(abra o arquivo 'Referência 05-2023.xls)</v>
      </c>
      <c r="AG86" s="549">
        <f t="shared" ca="1" si="46"/>
        <v>0</v>
      </c>
      <c r="AH86" s="550">
        <f t="shared" ca="1" si="47"/>
        <v>0.25</v>
      </c>
      <c r="AJ86" s="552"/>
      <c r="AL86" s="573"/>
      <c r="AM86" s="430">
        <f t="shared" ca="1" si="48"/>
        <v>0</v>
      </c>
      <c r="AN86" s="616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4</v>
      </c>
      <c r="G87">
        <f t="shared" ca="1" si="30"/>
        <v>0</v>
      </c>
      <c r="H87">
        <f t="shared" ca="1" si="31"/>
        <v>0</v>
      </c>
      <c r="I87">
        <f t="shared" ca="1" si="32"/>
        <v>1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3" t="str">
        <f t="shared" ca="1" si="34"/>
        <v/>
      </c>
      <c r="M87" s="144" t="s">
        <v>198</v>
      </c>
      <c r="N87" s="145" t="str">
        <f t="shared" ca="1" si="35"/>
        <v>Serviço</v>
      </c>
      <c r="O87" s="146" t="str">
        <f t="shared" ca="1" si="36"/>
        <v>-</v>
      </c>
      <c r="P87" s="147" t="s">
        <v>246</v>
      </c>
      <c r="Q87" s="148"/>
      <c r="R87" s="149" t="str">
        <f t="shared" ca="1" si="37"/>
        <v>(abra o arquivo 'Referência 05-2023.xls)</v>
      </c>
      <c r="S87" s="150" t="str">
        <f t="shared" ca="1" si="38"/>
        <v>-</v>
      </c>
      <c r="T87" s="151">
        <f ca="1">OFFSET(CÁLCULO!H$15,ROW($T87)-ROW(T$15),0)</f>
        <v>0</v>
      </c>
      <c r="U87" s="152"/>
      <c r="V87" s="153" t="s">
        <v>155</v>
      </c>
      <c r="W87" s="151">
        <f t="shared" ca="1" si="39"/>
        <v>0</v>
      </c>
      <c r="X87" s="154">
        <f t="shared" ca="1" si="40"/>
        <v>0</v>
      </c>
      <c r="Y87" s="155" t="s">
        <v>244</v>
      </c>
      <c r="Z87" t="str">
        <f t="shared" ca="1" si="41"/>
        <v/>
      </c>
      <c r="AA87" s="156">
        <f ca="1">IF($C87="S",IF($Z87="CP",$X87,IF($Z87="RA",(($X87)*QCI!$AA$3),0)),SomaAgrup)</f>
        <v>0</v>
      </c>
      <c r="AB87" s="157">
        <f t="shared" ca="1" si="42"/>
        <v>0</v>
      </c>
      <c r="AC87" s="158" t="str">
        <f t="shared" ca="1" si="43"/>
        <v/>
      </c>
      <c r="AD87" s="104" t="str">
        <f ca="1">IF(C87&lt;=CRONO.NivelExibicao,MAX($AD$15:OFFSET(AD87,-1,0))+IF($C87&lt;&gt;1,1,MAX(1,COUNTIF(QCI!$A$13:$A$24,OFFSET($E87,-1,0)))),"")</f>
        <v/>
      </c>
      <c r="AE87" s="114" t="b">
        <f t="shared" ca="1" si="44"/>
        <v>0</v>
      </c>
      <c r="AF87" s="159" t="str">
        <f t="shared" ca="1" si="45"/>
        <v>(abra o arquivo 'Referência 05-2023.xls)</v>
      </c>
      <c r="AG87" s="549">
        <f t="shared" ca="1" si="46"/>
        <v>0</v>
      </c>
      <c r="AH87" s="550">
        <f t="shared" ca="1" si="47"/>
        <v>0.25</v>
      </c>
      <c r="AJ87" s="552"/>
      <c r="AL87" s="573"/>
      <c r="AM87" s="430">
        <f t="shared" ca="1" si="48"/>
        <v>0</v>
      </c>
      <c r="AN87" s="616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4</v>
      </c>
      <c r="G88">
        <f t="shared" ca="1" si="30"/>
        <v>0</v>
      </c>
      <c r="H88">
        <f t="shared" ca="1" si="31"/>
        <v>0</v>
      </c>
      <c r="I88">
        <f t="shared" ca="1" si="32"/>
        <v>1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3" t="str">
        <f t="shared" ca="1" si="34"/>
        <v/>
      </c>
      <c r="M88" s="144" t="s">
        <v>198</v>
      </c>
      <c r="N88" s="145" t="str">
        <f t="shared" ca="1" si="35"/>
        <v>Serviço</v>
      </c>
      <c r="O88" s="146" t="str">
        <f t="shared" ca="1" si="36"/>
        <v>-</v>
      </c>
      <c r="P88" s="147" t="s">
        <v>246</v>
      </c>
      <c r="Q88" s="148"/>
      <c r="R88" s="149" t="str">
        <f t="shared" ca="1" si="37"/>
        <v>(abra o arquivo 'Referência 05-2023.xls)</v>
      </c>
      <c r="S88" s="150" t="str">
        <f t="shared" ca="1" si="38"/>
        <v>-</v>
      </c>
      <c r="T88" s="151">
        <f ca="1">OFFSET(CÁLCULO!H$15,ROW($T88)-ROW(T$15),0)</f>
        <v>0</v>
      </c>
      <c r="U88" s="152"/>
      <c r="V88" s="153" t="s">
        <v>155</v>
      </c>
      <c r="W88" s="151">
        <f t="shared" ca="1" si="39"/>
        <v>0</v>
      </c>
      <c r="X88" s="154">
        <f t="shared" ca="1" si="40"/>
        <v>0</v>
      </c>
      <c r="Y88" s="155" t="s">
        <v>244</v>
      </c>
      <c r="Z88" t="str">
        <f t="shared" ca="1" si="41"/>
        <v/>
      </c>
      <c r="AA88" s="156">
        <f ca="1">IF($C88="S",IF($Z88="CP",$X88,IF($Z88="RA",(($X88)*QCI!$AA$3),0)),SomaAgrup)</f>
        <v>0</v>
      </c>
      <c r="AB88" s="157">
        <f t="shared" ca="1" si="42"/>
        <v>0</v>
      </c>
      <c r="AC88" s="158" t="str">
        <f t="shared" ca="1" si="43"/>
        <v/>
      </c>
      <c r="AD88" s="104" t="str">
        <f ca="1">IF(C88&lt;=CRONO.NivelExibicao,MAX($AD$15:OFFSET(AD88,-1,0))+IF($C88&lt;&gt;1,1,MAX(1,COUNTIF(QCI!$A$13:$A$24,OFFSET($E88,-1,0)))),"")</f>
        <v/>
      </c>
      <c r="AE88" s="114" t="b">
        <f t="shared" ca="1" si="44"/>
        <v>0</v>
      </c>
      <c r="AF88" s="159" t="str">
        <f t="shared" ca="1" si="45"/>
        <v>(abra o arquivo 'Referência 05-2023.xls)</v>
      </c>
      <c r="AG88" s="549">
        <f t="shared" ca="1" si="46"/>
        <v>0</v>
      </c>
      <c r="AH88" s="550">
        <f t="shared" ca="1" si="47"/>
        <v>0.25</v>
      </c>
      <c r="AJ88" s="552"/>
      <c r="AL88" s="573"/>
      <c r="AM88" s="430">
        <f t="shared" ca="1" si="48"/>
        <v>0</v>
      </c>
      <c r="AN88" s="616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4</v>
      </c>
      <c r="G89">
        <f t="shared" ca="1" si="30"/>
        <v>0</v>
      </c>
      <c r="H89">
        <f t="shared" ca="1" si="31"/>
        <v>0</v>
      </c>
      <c r="I89">
        <f t="shared" ca="1" si="32"/>
        <v>1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3" t="str">
        <f t="shared" ca="1" si="34"/>
        <v/>
      </c>
      <c r="M89" s="144" t="s">
        <v>198</v>
      </c>
      <c r="N89" s="145" t="str">
        <f t="shared" ca="1" si="35"/>
        <v>Serviço</v>
      </c>
      <c r="O89" s="146" t="str">
        <f t="shared" ca="1" si="36"/>
        <v>-</v>
      </c>
      <c r="P89" s="147" t="s">
        <v>246</v>
      </c>
      <c r="Q89" s="148"/>
      <c r="R89" s="149" t="str">
        <f t="shared" ca="1" si="37"/>
        <v>(abra o arquivo 'Referência 05-2023.xls)</v>
      </c>
      <c r="S89" s="150" t="str">
        <f t="shared" ca="1" si="38"/>
        <v>-</v>
      </c>
      <c r="T89" s="151">
        <f ca="1">OFFSET(CÁLCULO!H$15,ROW($T89)-ROW(T$15),0)</f>
        <v>0</v>
      </c>
      <c r="U89" s="152"/>
      <c r="V89" s="153" t="s">
        <v>155</v>
      </c>
      <c r="W89" s="151">
        <f t="shared" ca="1" si="39"/>
        <v>0</v>
      </c>
      <c r="X89" s="154">
        <f t="shared" ca="1" si="40"/>
        <v>0</v>
      </c>
      <c r="Y89" s="155" t="s">
        <v>244</v>
      </c>
      <c r="Z89" t="str">
        <f t="shared" ca="1" si="41"/>
        <v/>
      </c>
      <c r="AA89" s="156">
        <f ca="1">IF($C89="S",IF($Z89="CP",$X89,IF($Z89="RA",(($X89)*QCI!$AA$3),0)),SomaAgrup)</f>
        <v>0</v>
      </c>
      <c r="AB89" s="157">
        <f t="shared" ca="1" si="42"/>
        <v>0</v>
      </c>
      <c r="AC89" s="158" t="str">
        <f t="shared" ca="1" si="43"/>
        <v/>
      </c>
      <c r="AD89" s="104" t="str">
        <f ca="1">IF(C89&lt;=CRONO.NivelExibicao,MAX($AD$15:OFFSET(AD89,-1,0))+IF($C89&lt;&gt;1,1,MAX(1,COUNTIF(QCI!$A$13:$A$24,OFFSET($E89,-1,0)))),"")</f>
        <v/>
      </c>
      <c r="AE89" s="114" t="b">
        <f t="shared" ca="1" si="44"/>
        <v>0</v>
      </c>
      <c r="AF89" s="159" t="str">
        <f t="shared" ca="1" si="45"/>
        <v>(abra o arquivo 'Referência 05-2023.xls)</v>
      </c>
      <c r="AG89" s="549">
        <f t="shared" ca="1" si="46"/>
        <v>0</v>
      </c>
      <c r="AH89" s="550">
        <f t="shared" ca="1" si="47"/>
        <v>0.25</v>
      </c>
      <c r="AJ89" s="552"/>
      <c r="AL89" s="573"/>
      <c r="AM89" s="430">
        <f t="shared" ca="1" si="48"/>
        <v>0</v>
      </c>
      <c r="AN89" s="616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4</v>
      </c>
      <c r="G90">
        <f t="shared" ca="1" si="30"/>
        <v>0</v>
      </c>
      <c r="H90">
        <f t="shared" ca="1" si="31"/>
        <v>0</v>
      </c>
      <c r="I90">
        <f t="shared" ca="1" si="32"/>
        <v>1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3" t="str">
        <f t="shared" ca="1" si="34"/>
        <v/>
      </c>
      <c r="M90" s="144" t="s">
        <v>198</v>
      </c>
      <c r="N90" s="145" t="str">
        <f t="shared" ca="1" si="35"/>
        <v>Serviço</v>
      </c>
      <c r="O90" s="146" t="str">
        <f t="shared" ca="1" si="36"/>
        <v>-</v>
      </c>
      <c r="P90" s="147" t="s">
        <v>246</v>
      </c>
      <c r="Q90" s="148"/>
      <c r="R90" s="149" t="str">
        <f t="shared" ca="1" si="37"/>
        <v>(abra o arquivo 'Referência 05-2023.xls)</v>
      </c>
      <c r="S90" s="150" t="str">
        <f t="shared" ca="1" si="38"/>
        <v>-</v>
      </c>
      <c r="T90" s="151">
        <f ca="1">OFFSET(CÁLCULO!H$15,ROW($T90)-ROW(T$15),0)</f>
        <v>0</v>
      </c>
      <c r="U90" s="152"/>
      <c r="V90" s="153" t="s">
        <v>155</v>
      </c>
      <c r="W90" s="151">
        <f t="shared" ca="1" si="39"/>
        <v>0</v>
      </c>
      <c r="X90" s="154">
        <f t="shared" ca="1" si="40"/>
        <v>0</v>
      </c>
      <c r="Y90" s="155" t="s">
        <v>244</v>
      </c>
      <c r="Z90" t="str">
        <f t="shared" ca="1" si="41"/>
        <v/>
      </c>
      <c r="AA90" s="156">
        <f ca="1">IF($C90="S",IF($Z90="CP",$X90,IF($Z90="RA",(($X90)*QCI!$AA$3),0)),SomaAgrup)</f>
        <v>0</v>
      </c>
      <c r="AB90" s="157">
        <f t="shared" ca="1" si="42"/>
        <v>0</v>
      </c>
      <c r="AC90" s="158" t="str">
        <f t="shared" ca="1" si="43"/>
        <v/>
      </c>
      <c r="AD90" s="104" t="str">
        <f ca="1">IF(C90&lt;=CRONO.NivelExibicao,MAX($AD$15:OFFSET(AD90,-1,0))+IF($C90&lt;&gt;1,1,MAX(1,COUNTIF(QCI!$A$13:$A$24,OFFSET($E90,-1,0)))),"")</f>
        <v/>
      </c>
      <c r="AE90" s="114" t="b">
        <f t="shared" ca="1" si="44"/>
        <v>0</v>
      </c>
      <c r="AF90" s="159" t="str">
        <f t="shared" ca="1" si="45"/>
        <v>(abra o arquivo 'Referência 05-2023.xls)</v>
      </c>
      <c r="AG90" s="549">
        <f t="shared" ca="1" si="46"/>
        <v>0</v>
      </c>
      <c r="AH90" s="550">
        <f t="shared" ca="1" si="47"/>
        <v>0.25</v>
      </c>
      <c r="AJ90" s="552"/>
      <c r="AL90" s="573"/>
      <c r="AM90" s="430">
        <f t="shared" ca="1" si="48"/>
        <v>0</v>
      </c>
      <c r="AN90" s="616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4</v>
      </c>
      <c r="G91">
        <f t="shared" ca="1" si="30"/>
        <v>0</v>
      </c>
      <c r="H91">
        <f t="shared" ca="1" si="31"/>
        <v>0</v>
      </c>
      <c r="I91">
        <f t="shared" ca="1" si="32"/>
        <v>1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3" t="str">
        <f t="shared" ca="1" si="34"/>
        <v/>
      </c>
      <c r="M91" s="144" t="s">
        <v>198</v>
      </c>
      <c r="N91" s="145" t="str">
        <f t="shared" ca="1" si="35"/>
        <v>Serviço</v>
      </c>
      <c r="O91" s="146" t="str">
        <f t="shared" ca="1" si="36"/>
        <v>-</v>
      </c>
      <c r="P91" s="147" t="s">
        <v>246</v>
      </c>
      <c r="Q91" s="148"/>
      <c r="R91" s="149" t="str">
        <f t="shared" ca="1" si="37"/>
        <v>(abra o arquivo 'Referência 05-2023.xls)</v>
      </c>
      <c r="S91" s="150" t="str">
        <f t="shared" ca="1" si="38"/>
        <v>-</v>
      </c>
      <c r="T91" s="151">
        <f ca="1">OFFSET(CÁLCULO!H$15,ROW($T91)-ROW(T$15),0)</f>
        <v>0</v>
      </c>
      <c r="U91" s="152"/>
      <c r="V91" s="153" t="s">
        <v>155</v>
      </c>
      <c r="W91" s="151">
        <f t="shared" ca="1" si="39"/>
        <v>0</v>
      </c>
      <c r="X91" s="154">
        <f t="shared" ca="1" si="40"/>
        <v>0</v>
      </c>
      <c r="Y91" s="155" t="s">
        <v>244</v>
      </c>
      <c r="Z91" t="str">
        <f t="shared" ca="1" si="41"/>
        <v/>
      </c>
      <c r="AA91" s="156">
        <f ca="1">IF($C91="S",IF($Z91="CP",$X91,IF($Z91="RA",(($X91)*QCI!$AA$3),0)),SomaAgrup)</f>
        <v>0</v>
      </c>
      <c r="AB91" s="157">
        <f t="shared" ca="1" si="42"/>
        <v>0</v>
      </c>
      <c r="AC91" s="158" t="str">
        <f t="shared" ca="1" si="43"/>
        <v/>
      </c>
      <c r="AD91" s="104" t="str">
        <f ca="1">IF(C91&lt;=CRONO.NivelExibicao,MAX($AD$15:OFFSET(AD91,-1,0))+IF($C91&lt;&gt;1,1,MAX(1,COUNTIF(QCI!$A$13:$A$24,OFFSET($E91,-1,0)))),"")</f>
        <v/>
      </c>
      <c r="AE91" s="114" t="b">
        <f t="shared" ca="1" si="44"/>
        <v>0</v>
      </c>
      <c r="AF91" s="159" t="str">
        <f t="shared" ca="1" si="45"/>
        <v>(abra o arquivo 'Referência 05-2023.xls)</v>
      </c>
      <c r="AG91" s="549">
        <f t="shared" ca="1" si="46"/>
        <v>0</v>
      </c>
      <c r="AH91" s="550">
        <f t="shared" ca="1" si="47"/>
        <v>0.25</v>
      </c>
      <c r="AJ91" s="552"/>
      <c r="AL91" s="573"/>
      <c r="AM91" s="430">
        <f t="shared" ca="1" si="48"/>
        <v>0</v>
      </c>
      <c r="AN91" s="616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4</v>
      </c>
      <c r="G92">
        <f t="shared" ca="1" si="30"/>
        <v>0</v>
      </c>
      <c r="H92">
        <f t="shared" ca="1" si="31"/>
        <v>0</v>
      </c>
      <c r="I92">
        <f t="shared" ca="1" si="32"/>
        <v>1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3" t="str">
        <f t="shared" ca="1" si="34"/>
        <v/>
      </c>
      <c r="M92" s="144" t="s">
        <v>198</v>
      </c>
      <c r="N92" s="145" t="str">
        <f t="shared" ca="1" si="35"/>
        <v>Serviço</v>
      </c>
      <c r="O92" s="146" t="str">
        <f t="shared" ca="1" si="36"/>
        <v>-</v>
      </c>
      <c r="P92" s="147" t="s">
        <v>246</v>
      </c>
      <c r="Q92" s="148"/>
      <c r="R92" s="149" t="str">
        <f t="shared" ca="1" si="37"/>
        <v>(abra o arquivo 'Referência 05-2023.xls)</v>
      </c>
      <c r="S92" s="150" t="str">
        <f t="shared" ca="1" si="38"/>
        <v>-</v>
      </c>
      <c r="T92" s="151">
        <f ca="1">OFFSET(CÁLCULO!H$15,ROW($T92)-ROW(T$15),0)</f>
        <v>0</v>
      </c>
      <c r="U92" s="152"/>
      <c r="V92" s="153" t="s">
        <v>155</v>
      </c>
      <c r="W92" s="151">
        <f t="shared" ca="1" si="39"/>
        <v>0</v>
      </c>
      <c r="X92" s="154">
        <f t="shared" ca="1" si="40"/>
        <v>0</v>
      </c>
      <c r="Y92" s="155" t="s">
        <v>244</v>
      </c>
      <c r="Z92" t="str">
        <f t="shared" ca="1" si="41"/>
        <v/>
      </c>
      <c r="AA92" s="156">
        <f ca="1">IF($C92="S",IF($Z92="CP",$X92,IF($Z92="RA",(($X92)*QCI!$AA$3),0)),SomaAgrup)</f>
        <v>0</v>
      </c>
      <c r="AB92" s="157">
        <f t="shared" ca="1" si="42"/>
        <v>0</v>
      </c>
      <c r="AC92" s="158" t="str">
        <f t="shared" ca="1" si="43"/>
        <v/>
      </c>
      <c r="AD92" s="104" t="str">
        <f ca="1">IF(C92&lt;=CRONO.NivelExibicao,MAX($AD$15:OFFSET(AD92,-1,0))+IF($C92&lt;&gt;1,1,MAX(1,COUNTIF(QCI!$A$13:$A$24,OFFSET($E92,-1,0)))),"")</f>
        <v/>
      </c>
      <c r="AE92" s="114" t="b">
        <f t="shared" ca="1" si="44"/>
        <v>0</v>
      </c>
      <c r="AF92" s="159" t="str">
        <f t="shared" ca="1" si="45"/>
        <v>(abra o arquivo 'Referência 05-2023.xls)</v>
      </c>
      <c r="AG92" s="549">
        <f t="shared" ca="1" si="46"/>
        <v>0</v>
      </c>
      <c r="AH92" s="550">
        <f t="shared" ca="1" si="47"/>
        <v>0.25</v>
      </c>
      <c r="AJ92" s="552"/>
      <c r="AL92" s="573"/>
      <c r="AM92" s="430">
        <f t="shared" ca="1" si="48"/>
        <v>0</v>
      </c>
      <c r="AN92" s="616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4</v>
      </c>
      <c r="G93">
        <f t="shared" ca="1" si="30"/>
        <v>0</v>
      </c>
      <c r="H93">
        <f t="shared" ca="1" si="31"/>
        <v>0</v>
      </c>
      <c r="I93">
        <f t="shared" ca="1" si="32"/>
        <v>1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3" t="str">
        <f t="shared" ca="1" si="34"/>
        <v/>
      </c>
      <c r="M93" s="144" t="s">
        <v>198</v>
      </c>
      <c r="N93" s="145" t="str">
        <f t="shared" ca="1" si="35"/>
        <v>Serviço</v>
      </c>
      <c r="O93" s="146" t="str">
        <f t="shared" ca="1" si="36"/>
        <v>-</v>
      </c>
      <c r="P93" s="147" t="s">
        <v>246</v>
      </c>
      <c r="Q93" s="148"/>
      <c r="R93" s="149" t="str">
        <f t="shared" ca="1" si="37"/>
        <v>(abra o arquivo 'Referência 05-2023.xls)</v>
      </c>
      <c r="S93" s="150" t="str">
        <f t="shared" ca="1" si="38"/>
        <v>-</v>
      </c>
      <c r="T93" s="151">
        <f ca="1">OFFSET(CÁLCULO!H$15,ROW($T93)-ROW(T$15),0)</f>
        <v>0</v>
      </c>
      <c r="U93" s="152"/>
      <c r="V93" s="153" t="s">
        <v>155</v>
      </c>
      <c r="W93" s="151">
        <f t="shared" ca="1" si="39"/>
        <v>0</v>
      </c>
      <c r="X93" s="154">
        <f t="shared" ca="1" si="40"/>
        <v>0</v>
      </c>
      <c r="Y93" s="155" t="s">
        <v>244</v>
      </c>
      <c r="Z93" t="str">
        <f t="shared" ca="1" si="41"/>
        <v/>
      </c>
      <c r="AA93" s="156">
        <f ca="1">IF($C93="S",IF($Z93="CP",$X93,IF($Z93="RA",(($X93)*QCI!$AA$3),0)),SomaAgrup)</f>
        <v>0</v>
      </c>
      <c r="AB93" s="157">
        <f t="shared" ca="1" si="42"/>
        <v>0</v>
      </c>
      <c r="AC93" s="158" t="str">
        <f t="shared" ca="1" si="43"/>
        <v/>
      </c>
      <c r="AD93" s="104" t="str">
        <f ca="1">IF(C93&lt;=CRONO.NivelExibicao,MAX($AD$15:OFFSET(AD93,-1,0))+IF($C93&lt;&gt;1,1,MAX(1,COUNTIF(QCI!$A$13:$A$24,OFFSET($E93,-1,0)))),"")</f>
        <v/>
      </c>
      <c r="AE93" s="114" t="b">
        <f t="shared" ca="1" si="44"/>
        <v>0</v>
      </c>
      <c r="AF93" s="159" t="str">
        <f t="shared" ca="1" si="45"/>
        <v>(abra o arquivo 'Referência 05-2023.xls)</v>
      </c>
      <c r="AG93" s="549">
        <f t="shared" ca="1" si="46"/>
        <v>0</v>
      </c>
      <c r="AH93" s="550">
        <f t="shared" ca="1" si="47"/>
        <v>0.25</v>
      </c>
      <c r="AJ93" s="552"/>
      <c r="AL93" s="573"/>
      <c r="AM93" s="430">
        <f t="shared" ca="1" si="48"/>
        <v>0</v>
      </c>
      <c r="AN93" s="616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4</v>
      </c>
      <c r="G94">
        <f t="shared" ca="1" si="30"/>
        <v>0</v>
      </c>
      <c r="H94">
        <f t="shared" ca="1" si="31"/>
        <v>0</v>
      </c>
      <c r="I94">
        <f t="shared" ca="1" si="32"/>
        <v>1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3" t="str">
        <f t="shared" ca="1" si="34"/>
        <v/>
      </c>
      <c r="M94" s="144" t="s">
        <v>198</v>
      </c>
      <c r="N94" s="145" t="str">
        <f t="shared" ca="1" si="35"/>
        <v>Serviço</v>
      </c>
      <c r="O94" s="146" t="str">
        <f t="shared" ca="1" si="36"/>
        <v>-</v>
      </c>
      <c r="P94" s="147" t="s">
        <v>246</v>
      </c>
      <c r="Q94" s="148"/>
      <c r="R94" s="149" t="str">
        <f t="shared" ca="1" si="37"/>
        <v>(abra o arquivo 'Referência 05-2023.xls)</v>
      </c>
      <c r="S94" s="150" t="str">
        <f t="shared" ca="1" si="38"/>
        <v>-</v>
      </c>
      <c r="T94" s="151">
        <f ca="1">OFFSET(CÁLCULO!H$15,ROW($T94)-ROW(T$15),0)</f>
        <v>0</v>
      </c>
      <c r="U94" s="152"/>
      <c r="V94" s="153" t="s">
        <v>155</v>
      </c>
      <c r="W94" s="151">
        <f t="shared" ca="1" si="39"/>
        <v>0</v>
      </c>
      <c r="X94" s="154">
        <f t="shared" ca="1" si="40"/>
        <v>0</v>
      </c>
      <c r="Y94" s="155" t="s">
        <v>244</v>
      </c>
      <c r="Z94" t="str">
        <f t="shared" ca="1" si="41"/>
        <v/>
      </c>
      <c r="AA94" s="156">
        <f ca="1">IF($C94="S",IF($Z94="CP",$X94,IF($Z94="RA",(($X94)*QCI!$AA$3),0)),SomaAgrup)</f>
        <v>0</v>
      </c>
      <c r="AB94" s="157">
        <f t="shared" ca="1" si="42"/>
        <v>0</v>
      </c>
      <c r="AC94" s="158" t="str">
        <f t="shared" ca="1" si="43"/>
        <v/>
      </c>
      <c r="AD94" s="104" t="str">
        <f ca="1">IF(C94&lt;=CRONO.NivelExibicao,MAX($AD$15:OFFSET(AD94,-1,0))+IF($C94&lt;&gt;1,1,MAX(1,COUNTIF(QCI!$A$13:$A$24,OFFSET($E94,-1,0)))),"")</f>
        <v/>
      </c>
      <c r="AE94" s="114" t="b">
        <f t="shared" ca="1" si="44"/>
        <v>0</v>
      </c>
      <c r="AF94" s="159" t="str">
        <f t="shared" ca="1" si="45"/>
        <v>(abra o arquivo 'Referência 05-2023.xls)</v>
      </c>
      <c r="AG94" s="549">
        <f t="shared" ca="1" si="46"/>
        <v>0</v>
      </c>
      <c r="AH94" s="550">
        <f t="shared" ca="1" si="47"/>
        <v>0.25</v>
      </c>
      <c r="AJ94" s="552"/>
      <c r="AL94" s="573"/>
      <c r="AM94" s="430">
        <f t="shared" ca="1" si="48"/>
        <v>0</v>
      </c>
      <c r="AN94" s="616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4</v>
      </c>
      <c r="G95">
        <f t="shared" ca="1" si="30"/>
        <v>0</v>
      </c>
      <c r="H95">
        <f t="shared" ca="1" si="31"/>
        <v>0</v>
      </c>
      <c r="I95">
        <f t="shared" ca="1" si="32"/>
        <v>1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3" t="str">
        <f t="shared" ca="1" si="34"/>
        <v/>
      </c>
      <c r="M95" s="144" t="s">
        <v>198</v>
      </c>
      <c r="N95" s="145" t="str">
        <f t="shared" ca="1" si="35"/>
        <v>Serviço</v>
      </c>
      <c r="O95" s="146" t="str">
        <f t="shared" ca="1" si="36"/>
        <v>-</v>
      </c>
      <c r="P95" s="147" t="s">
        <v>246</v>
      </c>
      <c r="Q95" s="148"/>
      <c r="R95" s="149" t="str">
        <f t="shared" ca="1" si="37"/>
        <v>(abra o arquivo 'Referência 05-2023.xls)</v>
      </c>
      <c r="S95" s="150" t="str">
        <f t="shared" ca="1" si="38"/>
        <v>-</v>
      </c>
      <c r="T95" s="151">
        <f ca="1">OFFSET(CÁLCULO!H$15,ROW($T95)-ROW(T$15),0)</f>
        <v>0</v>
      </c>
      <c r="U95" s="152"/>
      <c r="V95" s="153" t="s">
        <v>155</v>
      </c>
      <c r="W95" s="151">
        <f t="shared" ca="1" si="39"/>
        <v>0</v>
      </c>
      <c r="X95" s="154">
        <f t="shared" ca="1" si="40"/>
        <v>0</v>
      </c>
      <c r="Y95" s="155" t="s">
        <v>244</v>
      </c>
      <c r="Z95" t="str">
        <f t="shared" ca="1" si="41"/>
        <v/>
      </c>
      <c r="AA95" s="156">
        <f ca="1">IF($C95="S",IF($Z95="CP",$X95,IF($Z95="RA",(($X95)*QCI!$AA$3),0)),SomaAgrup)</f>
        <v>0</v>
      </c>
      <c r="AB95" s="157">
        <f t="shared" ca="1" si="42"/>
        <v>0</v>
      </c>
      <c r="AC95" s="158" t="str">
        <f t="shared" ca="1" si="43"/>
        <v/>
      </c>
      <c r="AD95" s="104" t="str">
        <f ca="1">IF(C95&lt;=CRONO.NivelExibicao,MAX($AD$15:OFFSET(AD95,-1,0))+IF($C95&lt;&gt;1,1,MAX(1,COUNTIF(QCI!$A$13:$A$24,OFFSET($E95,-1,0)))),"")</f>
        <v/>
      </c>
      <c r="AE95" s="114" t="b">
        <f t="shared" ca="1" si="44"/>
        <v>0</v>
      </c>
      <c r="AF95" s="159" t="str">
        <f t="shared" ca="1" si="45"/>
        <v>(abra o arquivo 'Referência 05-2023.xls)</v>
      </c>
      <c r="AG95" s="549">
        <f t="shared" ca="1" si="46"/>
        <v>0</v>
      </c>
      <c r="AH95" s="550">
        <f t="shared" ca="1" si="47"/>
        <v>0.25</v>
      </c>
      <c r="AJ95" s="552"/>
      <c r="AL95" s="573"/>
      <c r="AM95" s="430">
        <f t="shared" ca="1" si="48"/>
        <v>0</v>
      </c>
      <c r="AN95" s="616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4</v>
      </c>
      <c r="G96">
        <f t="shared" ca="1" si="30"/>
        <v>0</v>
      </c>
      <c r="H96">
        <f t="shared" ca="1" si="31"/>
        <v>0</v>
      </c>
      <c r="I96">
        <f t="shared" ca="1" si="32"/>
        <v>1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3" t="str">
        <f t="shared" ca="1" si="34"/>
        <v/>
      </c>
      <c r="M96" s="144" t="s">
        <v>198</v>
      </c>
      <c r="N96" s="145" t="str">
        <f t="shared" ca="1" si="35"/>
        <v>Serviço</v>
      </c>
      <c r="O96" s="146" t="str">
        <f t="shared" ca="1" si="36"/>
        <v>-</v>
      </c>
      <c r="P96" s="147" t="s">
        <v>246</v>
      </c>
      <c r="Q96" s="148"/>
      <c r="R96" s="149" t="str">
        <f t="shared" ca="1" si="37"/>
        <v>(abra o arquivo 'Referência 05-2023.xls)</v>
      </c>
      <c r="S96" s="150" t="str">
        <f t="shared" ca="1" si="38"/>
        <v>-</v>
      </c>
      <c r="T96" s="151">
        <f ca="1">OFFSET(CÁLCULO!H$15,ROW($T96)-ROW(T$15),0)</f>
        <v>0</v>
      </c>
      <c r="U96" s="152"/>
      <c r="V96" s="153" t="s">
        <v>155</v>
      </c>
      <c r="W96" s="151">
        <f t="shared" ca="1" si="39"/>
        <v>0</v>
      </c>
      <c r="X96" s="154">
        <f t="shared" ca="1" si="40"/>
        <v>0</v>
      </c>
      <c r="Y96" s="155" t="s">
        <v>244</v>
      </c>
      <c r="Z96" t="str">
        <f t="shared" ca="1" si="41"/>
        <v/>
      </c>
      <c r="AA96" s="156">
        <f ca="1">IF($C96="S",IF($Z96="CP",$X96,IF($Z96="RA",(($X96)*QCI!$AA$3),0)),SomaAgrup)</f>
        <v>0</v>
      </c>
      <c r="AB96" s="157">
        <f t="shared" ca="1" si="42"/>
        <v>0</v>
      </c>
      <c r="AC96" s="158" t="str">
        <f t="shared" ca="1" si="43"/>
        <v/>
      </c>
      <c r="AD96" s="104" t="str">
        <f ca="1">IF(C96&lt;=CRONO.NivelExibicao,MAX($AD$15:OFFSET(AD96,-1,0))+IF($C96&lt;&gt;1,1,MAX(1,COUNTIF(QCI!$A$13:$A$24,OFFSET($E96,-1,0)))),"")</f>
        <v/>
      </c>
      <c r="AE96" s="114" t="b">
        <f t="shared" ca="1" si="44"/>
        <v>0</v>
      </c>
      <c r="AF96" s="159" t="str">
        <f t="shared" ca="1" si="45"/>
        <v>(abra o arquivo 'Referência 05-2023.xls)</v>
      </c>
      <c r="AG96" s="549">
        <f t="shared" ca="1" si="46"/>
        <v>0</v>
      </c>
      <c r="AH96" s="550">
        <f t="shared" ca="1" si="47"/>
        <v>0.25</v>
      </c>
      <c r="AJ96" s="552"/>
      <c r="AL96" s="573"/>
      <c r="AM96" s="430">
        <f t="shared" ca="1" si="48"/>
        <v>0</v>
      </c>
      <c r="AN96" s="616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4</v>
      </c>
      <c r="G97">
        <f t="shared" ca="1" si="30"/>
        <v>0</v>
      </c>
      <c r="H97">
        <f t="shared" ca="1" si="31"/>
        <v>0</v>
      </c>
      <c r="I97">
        <f t="shared" ca="1" si="32"/>
        <v>1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3" t="str">
        <f t="shared" ca="1" si="34"/>
        <v/>
      </c>
      <c r="M97" s="144" t="s">
        <v>198</v>
      </c>
      <c r="N97" s="145" t="str">
        <f t="shared" ca="1" si="35"/>
        <v>Serviço</v>
      </c>
      <c r="O97" s="146" t="str">
        <f t="shared" ca="1" si="36"/>
        <v>-</v>
      </c>
      <c r="P97" s="147" t="s">
        <v>246</v>
      </c>
      <c r="Q97" s="148"/>
      <c r="R97" s="149" t="str">
        <f t="shared" ca="1" si="37"/>
        <v>(abra o arquivo 'Referência 05-2023.xls)</v>
      </c>
      <c r="S97" s="150" t="str">
        <f t="shared" ca="1" si="38"/>
        <v>-</v>
      </c>
      <c r="T97" s="151">
        <f ca="1">OFFSET(CÁLCULO!H$15,ROW($T97)-ROW(T$15),0)</f>
        <v>0</v>
      </c>
      <c r="U97" s="152"/>
      <c r="V97" s="153" t="s">
        <v>155</v>
      </c>
      <c r="W97" s="151">
        <f t="shared" ca="1" si="39"/>
        <v>0</v>
      </c>
      <c r="X97" s="154">
        <f t="shared" ca="1" si="40"/>
        <v>0</v>
      </c>
      <c r="Y97" s="155" t="s">
        <v>244</v>
      </c>
      <c r="Z97" t="str">
        <f t="shared" ca="1" si="41"/>
        <v/>
      </c>
      <c r="AA97" s="156">
        <f ca="1">IF($C97="S",IF($Z97="CP",$X97,IF($Z97="RA",(($X97)*QCI!$AA$3),0)),SomaAgrup)</f>
        <v>0</v>
      </c>
      <c r="AB97" s="157">
        <f t="shared" ca="1" si="42"/>
        <v>0</v>
      </c>
      <c r="AC97" s="158" t="str">
        <f t="shared" ca="1" si="43"/>
        <v/>
      </c>
      <c r="AD97" s="104" t="str">
        <f ca="1">IF(C97&lt;=CRONO.NivelExibicao,MAX($AD$15:OFFSET(AD97,-1,0))+IF($C97&lt;&gt;1,1,MAX(1,COUNTIF(QCI!$A$13:$A$24,OFFSET($E97,-1,0)))),"")</f>
        <v/>
      </c>
      <c r="AE97" s="114" t="b">
        <f t="shared" ca="1" si="44"/>
        <v>0</v>
      </c>
      <c r="AF97" s="159" t="str">
        <f t="shared" ca="1" si="45"/>
        <v>(abra o arquivo 'Referência 05-2023.xls)</v>
      </c>
      <c r="AG97" s="549">
        <f t="shared" ca="1" si="46"/>
        <v>0</v>
      </c>
      <c r="AH97" s="550">
        <f t="shared" ca="1" si="47"/>
        <v>0.25</v>
      </c>
      <c r="AJ97" s="552"/>
      <c r="AL97" s="573"/>
      <c r="AM97" s="430">
        <f t="shared" ca="1" si="48"/>
        <v>0</v>
      </c>
      <c r="AN97" s="616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4</v>
      </c>
      <c r="G98">
        <f t="shared" ca="1" si="30"/>
        <v>0</v>
      </c>
      <c r="H98">
        <f t="shared" ca="1" si="31"/>
        <v>0</v>
      </c>
      <c r="I98">
        <f t="shared" ca="1" si="32"/>
        <v>1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3" t="str">
        <f t="shared" ca="1" si="34"/>
        <v/>
      </c>
      <c r="M98" s="144" t="s">
        <v>198</v>
      </c>
      <c r="N98" s="145" t="str">
        <f t="shared" ca="1" si="35"/>
        <v>Serviço</v>
      </c>
      <c r="O98" s="146" t="str">
        <f t="shared" ca="1" si="36"/>
        <v>-</v>
      </c>
      <c r="P98" s="147" t="s">
        <v>246</v>
      </c>
      <c r="Q98" s="148"/>
      <c r="R98" s="149" t="str">
        <f t="shared" ca="1" si="37"/>
        <v>(abra o arquivo 'Referência 05-2023.xls)</v>
      </c>
      <c r="S98" s="150" t="str">
        <f t="shared" ca="1" si="38"/>
        <v>-</v>
      </c>
      <c r="T98" s="151">
        <f ca="1">OFFSET(CÁLCULO!H$15,ROW($T98)-ROW(T$15),0)</f>
        <v>0</v>
      </c>
      <c r="U98" s="152"/>
      <c r="V98" s="153" t="s">
        <v>155</v>
      </c>
      <c r="W98" s="151">
        <f t="shared" ca="1" si="39"/>
        <v>0</v>
      </c>
      <c r="X98" s="154">
        <f t="shared" ca="1" si="40"/>
        <v>0</v>
      </c>
      <c r="Y98" s="155" t="s">
        <v>244</v>
      </c>
      <c r="Z98" t="str">
        <f t="shared" ca="1" si="41"/>
        <v/>
      </c>
      <c r="AA98" s="156">
        <f ca="1">IF($C98="S",IF($Z98="CP",$X98,IF($Z98="RA",(($X98)*QCI!$AA$3),0)),SomaAgrup)</f>
        <v>0</v>
      </c>
      <c r="AB98" s="157">
        <f t="shared" ca="1" si="42"/>
        <v>0</v>
      </c>
      <c r="AC98" s="158" t="str">
        <f t="shared" ca="1" si="43"/>
        <v/>
      </c>
      <c r="AD98" s="104" t="str">
        <f ca="1">IF(C98&lt;=CRONO.NivelExibicao,MAX($AD$15:OFFSET(AD98,-1,0))+IF($C98&lt;&gt;1,1,MAX(1,COUNTIF(QCI!$A$13:$A$24,OFFSET($E98,-1,0)))),"")</f>
        <v/>
      </c>
      <c r="AE98" s="114" t="b">
        <f t="shared" ca="1" si="44"/>
        <v>0</v>
      </c>
      <c r="AF98" s="159" t="str">
        <f t="shared" ca="1" si="45"/>
        <v>(abra o arquivo 'Referência 05-2023.xls)</v>
      </c>
      <c r="AG98" s="549">
        <f t="shared" ca="1" si="46"/>
        <v>0</v>
      </c>
      <c r="AH98" s="550">
        <f t="shared" ca="1" si="47"/>
        <v>0.25</v>
      </c>
      <c r="AJ98" s="552"/>
      <c r="AL98" s="573"/>
      <c r="AM98" s="430">
        <f t="shared" ca="1" si="48"/>
        <v>0</v>
      </c>
      <c r="AN98" s="616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4</v>
      </c>
      <c r="G99">
        <f t="shared" ca="1" si="30"/>
        <v>0</v>
      </c>
      <c r="H99">
        <f t="shared" ca="1" si="31"/>
        <v>0</v>
      </c>
      <c r="I99">
        <f t="shared" ca="1" si="32"/>
        <v>1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3" t="str">
        <f t="shared" ca="1" si="34"/>
        <v/>
      </c>
      <c r="M99" s="144" t="s">
        <v>198</v>
      </c>
      <c r="N99" s="145" t="str">
        <f t="shared" ca="1" si="35"/>
        <v>Serviço</v>
      </c>
      <c r="O99" s="146" t="str">
        <f t="shared" ca="1" si="36"/>
        <v>-</v>
      </c>
      <c r="P99" s="147" t="s">
        <v>246</v>
      </c>
      <c r="Q99" s="148"/>
      <c r="R99" s="149" t="str">
        <f t="shared" ca="1" si="37"/>
        <v>(abra o arquivo 'Referência 05-2023.xls)</v>
      </c>
      <c r="S99" s="150" t="str">
        <f t="shared" ca="1" si="38"/>
        <v>-</v>
      </c>
      <c r="T99" s="151">
        <f ca="1">OFFSET(CÁLCULO!H$15,ROW($T99)-ROW(T$15),0)</f>
        <v>0</v>
      </c>
      <c r="U99" s="152"/>
      <c r="V99" s="153" t="s">
        <v>155</v>
      </c>
      <c r="W99" s="151">
        <f t="shared" ca="1" si="39"/>
        <v>0</v>
      </c>
      <c r="X99" s="154">
        <f t="shared" ca="1" si="40"/>
        <v>0</v>
      </c>
      <c r="Y99" s="155" t="s">
        <v>244</v>
      </c>
      <c r="Z99" t="str">
        <f t="shared" ca="1" si="41"/>
        <v/>
      </c>
      <c r="AA99" s="156">
        <f ca="1">IF($C99="S",IF($Z99="CP",$X99,IF($Z99="RA",(($X99)*QCI!$AA$3),0)),SomaAgrup)</f>
        <v>0</v>
      </c>
      <c r="AB99" s="157">
        <f t="shared" ca="1" si="42"/>
        <v>0</v>
      </c>
      <c r="AC99" s="158" t="str">
        <f t="shared" ca="1" si="43"/>
        <v/>
      </c>
      <c r="AD99" s="104" t="str">
        <f ca="1">IF(C99&lt;=CRONO.NivelExibicao,MAX($AD$15:OFFSET(AD99,-1,0))+IF($C99&lt;&gt;1,1,MAX(1,COUNTIF(QCI!$A$13:$A$24,OFFSET($E99,-1,0)))),"")</f>
        <v/>
      </c>
      <c r="AE99" s="114" t="b">
        <f t="shared" ca="1" si="44"/>
        <v>0</v>
      </c>
      <c r="AF99" s="159" t="str">
        <f t="shared" ca="1" si="45"/>
        <v>(abra o arquivo 'Referência 05-2023.xls)</v>
      </c>
      <c r="AG99" s="549">
        <f t="shared" ca="1" si="46"/>
        <v>0</v>
      </c>
      <c r="AH99" s="550">
        <f t="shared" ca="1" si="47"/>
        <v>0.25</v>
      </c>
      <c r="AJ99" s="552"/>
      <c r="AL99" s="573"/>
      <c r="AM99" s="430">
        <f t="shared" ca="1" si="48"/>
        <v>0</v>
      </c>
      <c r="AN99" s="616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4</v>
      </c>
      <c r="G100">
        <f t="shared" ca="1" si="30"/>
        <v>0</v>
      </c>
      <c r="H100">
        <f t="shared" ca="1" si="31"/>
        <v>0</v>
      </c>
      <c r="I100">
        <f t="shared" ca="1" si="32"/>
        <v>1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3" t="str">
        <f t="shared" ca="1" si="34"/>
        <v/>
      </c>
      <c r="M100" s="144" t="s">
        <v>198</v>
      </c>
      <c r="N100" s="145" t="str">
        <f t="shared" ca="1" si="35"/>
        <v>Serviço</v>
      </c>
      <c r="O100" s="146" t="str">
        <f t="shared" ca="1" si="36"/>
        <v>-</v>
      </c>
      <c r="P100" s="147" t="s">
        <v>246</v>
      </c>
      <c r="Q100" s="148"/>
      <c r="R100" s="149" t="str">
        <f t="shared" ca="1" si="37"/>
        <v>(abra o arquivo 'Referência 05-2023.xls)</v>
      </c>
      <c r="S100" s="150" t="str">
        <f t="shared" ca="1" si="38"/>
        <v>-</v>
      </c>
      <c r="T100" s="151">
        <f ca="1">OFFSET(CÁLCULO!H$15,ROW($T100)-ROW(T$15),0)</f>
        <v>0</v>
      </c>
      <c r="U100" s="152"/>
      <c r="V100" s="153" t="s">
        <v>155</v>
      </c>
      <c r="W100" s="151">
        <f t="shared" ca="1" si="39"/>
        <v>0</v>
      </c>
      <c r="X100" s="154">
        <f t="shared" ca="1" si="40"/>
        <v>0</v>
      </c>
      <c r="Y100" s="155" t="s">
        <v>244</v>
      </c>
      <c r="Z100" t="str">
        <f t="shared" ca="1" si="41"/>
        <v/>
      </c>
      <c r="AA100" s="156">
        <f ca="1">IF($C100="S",IF($Z100="CP",$X100,IF($Z100="RA",(($X100)*QCI!$AA$3),0)),SomaAgrup)</f>
        <v>0</v>
      </c>
      <c r="AB100" s="157">
        <f t="shared" ca="1" si="42"/>
        <v>0</v>
      </c>
      <c r="AC100" s="158" t="str">
        <f t="shared" ca="1" si="43"/>
        <v/>
      </c>
      <c r="AD100" s="104" t="str">
        <f ca="1">IF(C100&lt;=CRONO.NivelExibicao,MAX($AD$15:OFFSET(AD100,-1,0))+IF($C100&lt;&gt;1,1,MAX(1,COUNTIF(QCI!$A$13:$A$24,OFFSET($E100,-1,0)))),"")</f>
        <v/>
      </c>
      <c r="AE100" s="114" t="b">
        <f t="shared" ca="1" si="44"/>
        <v>0</v>
      </c>
      <c r="AF100" s="159" t="str">
        <f t="shared" ca="1" si="45"/>
        <v>(abra o arquivo 'Referência 05-2023.xls)</v>
      </c>
      <c r="AG100" s="549">
        <f t="shared" ca="1" si="46"/>
        <v>0</v>
      </c>
      <c r="AH100" s="550">
        <f t="shared" ca="1" si="47"/>
        <v>0.25</v>
      </c>
      <c r="AJ100" s="552"/>
      <c r="AL100" s="573"/>
      <c r="AM100" s="430">
        <f t="shared" ca="1" si="48"/>
        <v>0</v>
      </c>
      <c r="AN100" s="616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4</v>
      </c>
      <c r="G101">
        <f t="shared" ca="1" si="30"/>
        <v>0</v>
      </c>
      <c r="H101">
        <f t="shared" ca="1" si="31"/>
        <v>0</v>
      </c>
      <c r="I101">
        <f t="shared" ca="1" si="32"/>
        <v>1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3" t="str">
        <f t="shared" ca="1" si="34"/>
        <v/>
      </c>
      <c r="M101" s="144" t="s">
        <v>198</v>
      </c>
      <c r="N101" s="145" t="str">
        <f t="shared" ca="1" si="35"/>
        <v>Serviço</v>
      </c>
      <c r="O101" s="146" t="str">
        <f t="shared" ca="1" si="36"/>
        <v>-</v>
      </c>
      <c r="P101" s="147" t="s">
        <v>246</v>
      </c>
      <c r="Q101" s="148"/>
      <c r="R101" s="149" t="str">
        <f t="shared" ca="1" si="37"/>
        <v>(abra o arquivo 'Referência 05-2023.xls)</v>
      </c>
      <c r="S101" s="150" t="str">
        <f t="shared" ca="1" si="38"/>
        <v>-</v>
      </c>
      <c r="T101" s="151">
        <f ca="1">OFFSET(CÁLCULO!H$15,ROW($T101)-ROW(T$15),0)</f>
        <v>0</v>
      </c>
      <c r="U101" s="152"/>
      <c r="V101" s="153" t="s">
        <v>155</v>
      </c>
      <c r="W101" s="151">
        <f t="shared" ca="1" si="39"/>
        <v>0</v>
      </c>
      <c r="X101" s="154">
        <f t="shared" ca="1" si="40"/>
        <v>0</v>
      </c>
      <c r="Y101" s="155" t="s">
        <v>244</v>
      </c>
      <c r="Z101" t="str">
        <f t="shared" ca="1" si="41"/>
        <v/>
      </c>
      <c r="AA101" s="156">
        <f ca="1">IF($C101="S",IF($Z101="CP",$X101,IF($Z101="RA",(($X101)*QCI!$AA$3),0)),SomaAgrup)</f>
        <v>0</v>
      </c>
      <c r="AB101" s="157">
        <f t="shared" ca="1" si="42"/>
        <v>0</v>
      </c>
      <c r="AC101" s="158" t="str">
        <f t="shared" ca="1" si="43"/>
        <v/>
      </c>
      <c r="AD101" s="104" t="str">
        <f ca="1">IF(C101&lt;=CRONO.NivelExibicao,MAX($AD$15:OFFSET(AD101,-1,0))+IF($C101&lt;&gt;1,1,MAX(1,COUNTIF(QCI!$A$13:$A$24,OFFSET($E101,-1,0)))),"")</f>
        <v/>
      </c>
      <c r="AE101" s="114" t="b">
        <f t="shared" ca="1" si="44"/>
        <v>0</v>
      </c>
      <c r="AF101" s="159" t="str">
        <f t="shared" ca="1" si="45"/>
        <v>(abra o arquivo 'Referência 05-2023.xls)</v>
      </c>
      <c r="AG101" s="549">
        <f t="shared" ca="1" si="46"/>
        <v>0</v>
      </c>
      <c r="AH101" s="550">
        <f t="shared" ca="1" si="47"/>
        <v>0.25</v>
      </c>
      <c r="AJ101" s="552"/>
      <c r="AL101" s="573"/>
      <c r="AM101" s="430">
        <f t="shared" ca="1" si="48"/>
        <v>0</v>
      </c>
      <c r="AN101" s="616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4</v>
      </c>
      <c r="G102">
        <f t="shared" ca="1" si="30"/>
        <v>0</v>
      </c>
      <c r="H102">
        <f t="shared" ca="1" si="31"/>
        <v>0</v>
      </c>
      <c r="I102">
        <f t="shared" ca="1" si="32"/>
        <v>1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3" t="str">
        <f t="shared" ca="1" si="34"/>
        <v/>
      </c>
      <c r="M102" s="144" t="s">
        <v>198</v>
      </c>
      <c r="N102" s="145" t="str">
        <f t="shared" ca="1" si="35"/>
        <v>Serviço</v>
      </c>
      <c r="O102" s="146" t="str">
        <f t="shared" ca="1" si="36"/>
        <v>-</v>
      </c>
      <c r="P102" s="147" t="s">
        <v>246</v>
      </c>
      <c r="Q102" s="148"/>
      <c r="R102" s="149" t="str">
        <f t="shared" ca="1" si="37"/>
        <v>(abra o arquivo 'Referência 05-2023.xls)</v>
      </c>
      <c r="S102" s="150" t="str">
        <f t="shared" ca="1" si="38"/>
        <v>-</v>
      </c>
      <c r="T102" s="151">
        <f ca="1">OFFSET(CÁLCULO!H$15,ROW($T102)-ROW(T$15),0)</f>
        <v>0</v>
      </c>
      <c r="U102" s="152"/>
      <c r="V102" s="153" t="s">
        <v>155</v>
      </c>
      <c r="W102" s="151">
        <f t="shared" ca="1" si="39"/>
        <v>0</v>
      </c>
      <c r="X102" s="154">
        <f t="shared" ca="1" si="40"/>
        <v>0</v>
      </c>
      <c r="Y102" s="155" t="s">
        <v>244</v>
      </c>
      <c r="Z102" t="str">
        <f t="shared" ca="1" si="41"/>
        <v/>
      </c>
      <c r="AA102" s="156">
        <f ca="1">IF($C102="S",IF($Z102="CP",$X102,IF($Z102="RA",(($X102)*QCI!$AA$3),0)),SomaAgrup)</f>
        <v>0</v>
      </c>
      <c r="AB102" s="157">
        <f t="shared" ca="1" si="42"/>
        <v>0</v>
      </c>
      <c r="AC102" s="158" t="str">
        <f t="shared" ca="1" si="43"/>
        <v/>
      </c>
      <c r="AD102" s="104" t="str">
        <f ca="1">IF(C102&lt;=CRONO.NivelExibicao,MAX($AD$15:OFFSET(AD102,-1,0))+IF($C102&lt;&gt;1,1,MAX(1,COUNTIF(QCI!$A$13:$A$24,OFFSET($E102,-1,0)))),"")</f>
        <v/>
      </c>
      <c r="AE102" s="114" t="b">
        <f t="shared" ca="1" si="44"/>
        <v>0</v>
      </c>
      <c r="AF102" s="159" t="str">
        <f t="shared" ca="1" si="45"/>
        <v>(abra o arquivo 'Referência 05-2023.xls)</v>
      </c>
      <c r="AG102" s="549">
        <f t="shared" ca="1" si="46"/>
        <v>0</v>
      </c>
      <c r="AH102" s="550">
        <f t="shared" ca="1" si="47"/>
        <v>0.25</v>
      </c>
      <c r="AJ102" s="552"/>
      <c r="AL102" s="573"/>
      <c r="AM102" s="430">
        <f t="shared" ca="1" si="48"/>
        <v>0</v>
      </c>
      <c r="AN102" s="616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4</v>
      </c>
      <c r="G103">
        <f t="shared" ca="1" si="30"/>
        <v>0</v>
      </c>
      <c r="H103">
        <f t="shared" ca="1" si="31"/>
        <v>0</v>
      </c>
      <c r="I103">
        <f t="shared" ca="1" si="32"/>
        <v>1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3" t="str">
        <f t="shared" ca="1" si="34"/>
        <v/>
      </c>
      <c r="M103" s="144" t="s">
        <v>198</v>
      </c>
      <c r="N103" s="145" t="str">
        <f t="shared" ca="1" si="35"/>
        <v>Serviço</v>
      </c>
      <c r="O103" s="146" t="str">
        <f t="shared" ca="1" si="36"/>
        <v>-</v>
      </c>
      <c r="P103" s="147" t="s">
        <v>246</v>
      </c>
      <c r="Q103" s="148"/>
      <c r="R103" s="149" t="str">
        <f t="shared" ca="1" si="37"/>
        <v>(abra o arquivo 'Referência 05-2023.xls)</v>
      </c>
      <c r="S103" s="150" t="str">
        <f t="shared" ca="1" si="38"/>
        <v>-</v>
      </c>
      <c r="T103" s="151">
        <f ca="1">OFFSET(CÁLCULO!H$15,ROW($T103)-ROW(T$15),0)</f>
        <v>0</v>
      </c>
      <c r="U103" s="152"/>
      <c r="V103" s="153" t="s">
        <v>155</v>
      </c>
      <c r="W103" s="151">
        <f t="shared" ca="1" si="39"/>
        <v>0</v>
      </c>
      <c r="X103" s="154">
        <f t="shared" ca="1" si="40"/>
        <v>0</v>
      </c>
      <c r="Y103" s="155" t="s">
        <v>244</v>
      </c>
      <c r="Z103" t="str">
        <f t="shared" ca="1" si="41"/>
        <v/>
      </c>
      <c r="AA103" s="156">
        <f ca="1">IF($C103="S",IF($Z103="CP",$X103,IF($Z103="RA",(($X103)*QCI!$AA$3),0)),SomaAgrup)</f>
        <v>0</v>
      </c>
      <c r="AB103" s="157">
        <f t="shared" ca="1" si="42"/>
        <v>0</v>
      </c>
      <c r="AC103" s="158" t="str">
        <f t="shared" ca="1" si="43"/>
        <v/>
      </c>
      <c r="AD103" s="104" t="str">
        <f ca="1">IF(C103&lt;=CRONO.NivelExibicao,MAX($AD$15:OFFSET(AD103,-1,0))+IF($C103&lt;&gt;1,1,MAX(1,COUNTIF(QCI!$A$13:$A$24,OFFSET($E103,-1,0)))),"")</f>
        <v/>
      </c>
      <c r="AE103" s="114" t="b">
        <f t="shared" ca="1" si="44"/>
        <v>0</v>
      </c>
      <c r="AF103" s="159" t="str">
        <f t="shared" ca="1" si="45"/>
        <v>(abra o arquivo 'Referência 05-2023.xls)</v>
      </c>
      <c r="AG103" s="549">
        <f t="shared" ca="1" si="46"/>
        <v>0</v>
      </c>
      <c r="AH103" s="550">
        <f t="shared" ca="1" si="47"/>
        <v>0.25</v>
      </c>
      <c r="AJ103" s="552"/>
      <c r="AL103" s="573"/>
      <c r="AM103" s="430">
        <f t="shared" ca="1" si="48"/>
        <v>0</v>
      </c>
      <c r="AN103" s="616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4</v>
      </c>
      <c r="G104">
        <f t="shared" ca="1" si="30"/>
        <v>0</v>
      </c>
      <c r="H104">
        <f t="shared" ca="1" si="31"/>
        <v>0</v>
      </c>
      <c r="I104">
        <f t="shared" ca="1" si="32"/>
        <v>1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3" t="str">
        <f t="shared" ca="1" si="34"/>
        <v/>
      </c>
      <c r="M104" s="144" t="s">
        <v>198</v>
      </c>
      <c r="N104" s="145" t="str">
        <f t="shared" ca="1" si="35"/>
        <v>Serviço</v>
      </c>
      <c r="O104" s="146" t="str">
        <f t="shared" ca="1" si="36"/>
        <v>-</v>
      </c>
      <c r="P104" s="147" t="s">
        <v>246</v>
      </c>
      <c r="Q104" s="148"/>
      <c r="R104" s="149" t="str">
        <f t="shared" ca="1" si="37"/>
        <v>(abra o arquivo 'Referência 05-2023.xls)</v>
      </c>
      <c r="S104" s="150" t="str">
        <f t="shared" ca="1" si="38"/>
        <v>-</v>
      </c>
      <c r="T104" s="151">
        <f ca="1">OFFSET(CÁLCULO!H$15,ROW($T104)-ROW(T$15),0)</f>
        <v>0</v>
      </c>
      <c r="U104" s="152"/>
      <c r="V104" s="153" t="s">
        <v>155</v>
      </c>
      <c r="W104" s="151">
        <f t="shared" ca="1" si="39"/>
        <v>0</v>
      </c>
      <c r="X104" s="154">
        <f t="shared" ca="1" si="40"/>
        <v>0</v>
      </c>
      <c r="Y104" s="155" t="s">
        <v>244</v>
      </c>
      <c r="Z104" t="str">
        <f t="shared" ca="1" si="41"/>
        <v/>
      </c>
      <c r="AA104" s="156">
        <f ca="1">IF($C104="S",IF($Z104="CP",$X104,IF($Z104="RA",(($X104)*QCI!$AA$3),0)),SomaAgrup)</f>
        <v>0</v>
      </c>
      <c r="AB104" s="157">
        <f t="shared" ca="1" si="42"/>
        <v>0</v>
      </c>
      <c r="AC104" s="158" t="str">
        <f t="shared" ca="1" si="43"/>
        <v/>
      </c>
      <c r="AD104" s="104" t="str">
        <f ca="1">IF(C104&lt;=CRONO.NivelExibicao,MAX($AD$15:OFFSET(AD104,-1,0))+IF($C104&lt;&gt;1,1,MAX(1,COUNTIF(QCI!$A$13:$A$24,OFFSET($E104,-1,0)))),"")</f>
        <v/>
      </c>
      <c r="AE104" s="114" t="b">
        <f t="shared" ca="1" si="44"/>
        <v>0</v>
      </c>
      <c r="AF104" s="159" t="str">
        <f t="shared" ca="1" si="45"/>
        <v>(abra o arquivo 'Referência 05-2023.xls)</v>
      </c>
      <c r="AG104" s="549">
        <f t="shared" ca="1" si="46"/>
        <v>0</v>
      </c>
      <c r="AH104" s="550">
        <f t="shared" ca="1" si="47"/>
        <v>0.25</v>
      </c>
      <c r="AJ104" s="552"/>
      <c r="AL104" s="573"/>
      <c r="AM104" s="430">
        <f t="shared" ca="1" si="48"/>
        <v>0</v>
      </c>
      <c r="AN104" s="616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4</v>
      </c>
      <c r="G105">
        <f t="shared" ca="1" si="30"/>
        <v>0</v>
      </c>
      <c r="H105">
        <f t="shared" ca="1" si="31"/>
        <v>0</v>
      </c>
      <c r="I105">
        <f t="shared" ca="1" si="32"/>
        <v>1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3" t="str">
        <f t="shared" ca="1" si="34"/>
        <v/>
      </c>
      <c r="M105" s="144" t="s">
        <v>198</v>
      </c>
      <c r="N105" s="145" t="str">
        <f t="shared" ca="1" si="35"/>
        <v>Serviço</v>
      </c>
      <c r="O105" s="146" t="str">
        <f t="shared" ca="1" si="36"/>
        <v>-</v>
      </c>
      <c r="P105" s="147" t="s">
        <v>246</v>
      </c>
      <c r="Q105" s="148"/>
      <c r="R105" s="149" t="str">
        <f t="shared" ca="1" si="37"/>
        <v>(abra o arquivo 'Referência 05-2023.xls)</v>
      </c>
      <c r="S105" s="150" t="str">
        <f t="shared" ca="1" si="38"/>
        <v>-</v>
      </c>
      <c r="T105" s="151">
        <f ca="1">OFFSET(CÁLCULO!H$15,ROW($T105)-ROW(T$15),0)</f>
        <v>0</v>
      </c>
      <c r="U105" s="152"/>
      <c r="V105" s="153" t="s">
        <v>155</v>
      </c>
      <c r="W105" s="151">
        <f t="shared" ca="1" si="39"/>
        <v>0</v>
      </c>
      <c r="X105" s="154">
        <f t="shared" ca="1" si="40"/>
        <v>0</v>
      </c>
      <c r="Y105" s="155" t="s">
        <v>244</v>
      </c>
      <c r="Z105" t="str">
        <f t="shared" ca="1" si="41"/>
        <v/>
      </c>
      <c r="AA105" s="156">
        <f ca="1">IF($C105="S",IF($Z105="CP",$X105,IF($Z105="RA",(($X105)*QCI!$AA$3),0)),SomaAgrup)</f>
        <v>0</v>
      </c>
      <c r="AB105" s="157">
        <f t="shared" ca="1" si="42"/>
        <v>0</v>
      </c>
      <c r="AC105" s="158" t="str">
        <f t="shared" ca="1" si="43"/>
        <v/>
      </c>
      <c r="AD105" s="104" t="str">
        <f ca="1">IF(C105&lt;=CRONO.NivelExibicao,MAX($AD$15:OFFSET(AD105,-1,0))+IF($C105&lt;&gt;1,1,MAX(1,COUNTIF(QCI!$A$13:$A$24,OFFSET($E105,-1,0)))),"")</f>
        <v/>
      </c>
      <c r="AE105" s="114" t="b">
        <f t="shared" ca="1" si="44"/>
        <v>0</v>
      </c>
      <c r="AF105" s="159" t="str">
        <f t="shared" ca="1" si="45"/>
        <v>(abra o arquivo 'Referência 05-2023.xls)</v>
      </c>
      <c r="AG105" s="549">
        <f t="shared" ca="1" si="46"/>
        <v>0</v>
      </c>
      <c r="AH105" s="550">
        <f t="shared" ca="1" si="47"/>
        <v>0.25</v>
      </c>
      <c r="AJ105" s="552"/>
      <c r="AL105" s="573"/>
      <c r="AM105" s="430">
        <f t="shared" ca="1" si="48"/>
        <v>0</v>
      </c>
      <c r="AN105" s="616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4</v>
      </c>
      <c r="G106">
        <f t="shared" ca="1" si="30"/>
        <v>0</v>
      </c>
      <c r="H106">
        <f t="shared" ca="1" si="31"/>
        <v>0</v>
      </c>
      <c r="I106">
        <f t="shared" ca="1" si="32"/>
        <v>1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3" t="str">
        <f t="shared" ca="1" si="34"/>
        <v/>
      </c>
      <c r="M106" s="144" t="s">
        <v>198</v>
      </c>
      <c r="N106" s="145" t="str">
        <f t="shared" ca="1" si="35"/>
        <v>Serviço</v>
      </c>
      <c r="O106" s="146" t="str">
        <f t="shared" ca="1" si="36"/>
        <v>-</v>
      </c>
      <c r="P106" s="147" t="s">
        <v>246</v>
      </c>
      <c r="Q106" s="148"/>
      <c r="R106" s="149" t="str">
        <f t="shared" ca="1" si="37"/>
        <v>(abra o arquivo 'Referência 05-2023.xls)</v>
      </c>
      <c r="S106" s="150" t="str">
        <f t="shared" ca="1" si="38"/>
        <v>-</v>
      </c>
      <c r="T106" s="151">
        <f ca="1">OFFSET(CÁLCULO!H$15,ROW($T106)-ROW(T$15),0)</f>
        <v>0</v>
      </c>
      <c r="U106" s="152"/>
      <c r="V106" s="153" t="s">
        <v>155</v>
      </c>
      <c r="W106" s="151">
        <f t="shared" ca="1" si="39"/>
        <v>0</v>
      </c>
      <c r="X106" s="154">
        <f t="shared" ca="1" si="40"/>
        <v>0</v>
      </c>
      <c r="Y106" s="155" t="s">
        <v>244</v>
      </c>
      <c r="Z106" t="str">
        <f t="shared" ca="1" si="41"/>
        <v/>
      </c>
      <c r="AA106" s="156">
        <f ca="1">IF($C106="S",IF($Z106="CP",$X106,IF($Z106="RA",(($X106)*QCI!$AA$3),0)),SomaAgrup)</f>
        <v>0</v>
      </c>
      <c r="AB106" s="157">
        <f t="shared" ca="1" si="42"/>
        <v>0</v>
      </c>
      <c r="AC106" s="158" t="str">
        <f t="shared" ca="1" si="43"/>
        <v/>
      </c>
      <c r="AD106" s="104" t="str">
        <f ca="1">IF(C106&lt;=CRONO.NivelExibicao,MAX($AD$15:OFFSET(AD106,-1,0))+IF($C106&lt;&gt;1,1,MAX(1,COUNTIF(QCI!$A$13:$A$24,OFFSET($E106,-1,0)))),"")</f>
        <v/>
      </c>
      <c r="AE106" s="114" t="b">
        <f t="shared" ca="1" si="44"/>
        <v>0</v>
      </c>
      <c r="AF106" s="159" t="str">
        <f t="shared" ca="1" si="45"/>
        <v>(abra o arquivo 'Referência 05-2023.xls)</v>
      </c>
      <c r="AG106" s="549">
        <f t="shared" ca="1" si="46"/>
        <v>0</v>
      </c>
      <c r="AH106" s="550">
        <f t="shared" ca="1" si="47"/>
        <v>0.25</v>
      </c>
      <c r="AJ106" s="552"/>
      <c r="AL106" s="573"/>
      <c r="AM106" s="430">
        <f t="shared" ca="1" si="48"/>
        <v>0</v>
      </c>
      <c r="AN106" s="616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4</v>
      </c>
      <c r="G107">
        <f t="shared" ca="1" si="30"/>
        <v>0</v>
      </c>
      <c r="H107">
        <f t="shared" ca="1" si="31"/>
        <v>0</v>
      </c>
      <c r="I107">
        <f t="shared" ca="1" si="32"/>
        <v>1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3" t="str">
        <f t="shared" ca="1" si="34"/>
        <v/>
      </c>
      <c r="M107" s="144" t="s">
        <v>198</v>
      </c>
      <c r="N107" s="145" t="str">
        <f t="shared" ca="1" si="35"/>
        <v>Serviço</v>
      </c>
      <c r="O107" s="146" t="str">
        <f t="shared" ca="1" si="36"/>
        <v>-</v>
      </c>
      <c r="P107" s="147" t="s">
        <v>246</v>
      </c>
      <c r="Q107" s="148"/>
      <c r="R107" s="149" t="str">
        <f t="shared" ca="1" si="37"/>
        <v>(abra o arquivo 'Referência 05-2023.xls)</v>
      </c>
      <c r="S107" s="150" t="str">
        <f t="shared" ca="1" si="38"/>
        <v>-</v>
      </c>
      <c r="T107" s="151">
        <f ca="1">OFFSET(CÁLCULO!H$15,ROW($T107)-ROW(T$15),0)</f>
        <v>0</v>
      </c>
      <c r="U107" s="152"/>
      <c r="V107" s="153" t="s">
        <v>155</v>
      </c>
      <c r="W107" s="151">
        <f t="shared" ca="1" si="39"/>
        <v>0</v>
      </c>
      <c r="X107" s="154">
        <f t="shared" ca="1" si="40"/>
        <v>0</v>
      </c>
      <c r="Y107" s="155" t="s">
        <v>244</v>
      </c>
      <c r="Z107" t="str">
        <f t="shared" ca="1" si="41"/>
        <v/>
      </c>
      <c r="AA107" s="156">
        <f ca="1">IF($C107="S",IF($Z107="CP",$X107,IF($Z107="RA",(($X107)*QCI!$AA$3),0)),SomaAgrup)</f>
        <v>0</v>
      </c>
      <c r="AB107" s="157">
        <f t="shared" ca="1" si="42"/>
        <v>0</v>
      </c>
      <c r="AC107" s="158" t="str">
        <f t="shared" ca="1" si="43"/>
        <v/>
      </c>
      <c r="AD107" s="104" t="str">
        <f ca="1">IF(C107&lt;=CRONO.NivelExibicao,MAX($AD$15:OFFSET(AD107,-1,0))+IF($C107&lt;&gt;1,1,MAX(1,COUNTIF(QCI!$A$13:$A$24,OFFSET($E107,-1,0)))),"")</f>
        <v/>
      </c>
      <c r="AE107" s="114" t="b">
        <f t="shared" ca="1" si="44"/>
        <v>0</v>
      </c>
      <c r="AF107" s="159" t="str">
        <f t="shared" ca="1" si="45"/>
        <v>(abra o arquivo 'Referência 05-2023.xls)</v>
      </c>
      <c r="AG107" s="549">
        <f t="shared" ca="1" si="46"/>
        <v>0</v>
      </c>
      <c r="AH107" s="550">
        <f t="shared" ca="1" si="47"/>
        <v>0.25</v>
      </c>
      <c r="AJ107" s="552"/>
      <c r="AL107" s="573"/>
      <c r="AM107" s="430">
        <f t="shared" ca="1" si="48"/>
        <v>0</v>
      </c>
      <c r="AN107" s="616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4</v>
      </c>
      <c r="G108">
        <f t="shared" ca="1" si="30"/>
        <v>0</v>
      </c>
      <c r="H108">
        <f t="shared" ca="1" si="31"/>
        <v>0</v>
      </c>
      <c r="I108">
        <f t="shared" ca="1" si="32"/>
        <v>1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3" t="str">
        <f t="shared" ca="1" si="34"/>
        <v/>
      </c>
      <c r="M108" s="144" t="s">
        <v>198</v>
      </c>
      <c r="N108" s="145" t="str">
        <f t="shared" ca="1" si="35"/>
        <v>Serviço</v>
      </c>
      <c r="O108" s="146" t="str">
        <f t="shared" ca="1" si="36"/>
        <v>-</v>
      </c>
      <c r="P108" s="147" t="s">
        <v>246</v>
      </c>
      <c r="Q108" s="148"/>
      <c r="R108" s="149" t="str">
        <f t="shared" ca="1" si="37"/>
        <v>(abra o arquivo 'Referência 05-2023.xls)</v>
      </c>
      <c r="S108" s="150" t="str">
        <f t="shared" ca="1" si="38"/>
        <v>-</v>
      </c>
      <c r="T108" s="151">
        <f ca="1">OFFSET(CÁLCULO!H$15,ROW($T108)-ROW(T$15),0)</f>
        <v>0</v>
      </c>
      <c r="U108" s="152"/>
      <c r="V108" s="153" t="s">
        <v>155</v>
      </c>
      <c r="W108" s="151">
        <f t="shared" ca="1" si="39"/>
        <v>0</v>
      </c>
      <c r="X108" s="154">
        <f t="shared" ca="1" si="40"/>
        <v>0</v>
      </c>
      <c r="Y108" s="155" t="s">
        <v>244</v>
      </c>
      <c r="Z108" t="str">
        <f t="shared" ca="1" si="41"/>
        <v/>
      </c>
      <c r="AA108" s="156">
        <f ca="1">IF($C108="S",IF($Z108="CP",$X108,IF($Z108="RA",(($X108)*QCI!$AA$3),0)),SomaAgrup)</f>
        <v>0</v>
      </c>
      <c r="AB108" s="157">
        <f t="shared" ca="1" si="42"/>
        <v>0</v>
      </c>
      <c r="AC108" s="158" t="str">
        <f t="shared" ca="1" si="43"/>
        <v/>
      </c>
      <c r="AD108" s="104" t="str">
        <f ca="1">IF(C108&lt;=CRONO.NivelExibicao,MAX($AD$15:OFFSET(AD108,-1,0))+IF($C108&lt;&gt;1,1,MAX(1,COUNTIF(QCI!$A$13:$A$24,OFFSET($E108,-1,0)))),"")</f>
        <v/>
      </c>
      <c r="AE108" s="114" t="b">
        <f t="shared" ca="1" si="44"/>
        <v>0</v>
      </c>
      <c r="AF108" s="159" t="str">
        <f t="shared" ca="1" si="45"/>
        <v>(abra o arquivo 'Referência 05-2023.xls)</v>
      </c>
      <c r="AG108" s="549">
        <f t="shared" ca="1" si="46"/>
        <v>0</v>
      </c>
      <c r="AH108" s="550">
        <f t="shared" ca="1" si="47"/>
        <v>0.25</v>
      </c>
      <c r="AJ108" s="552"/>
      <c r="AL108" s="573"/>
      <c r="AM108" s="430">
        <f t="shared" ca="1" si="48"/>
        <v>0</v>
      </c>
      <c r="AN108" s="616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4</v>
      </c>
      <c r="G109">
        <f t="shared" ca="1" si="30"/>
        <v>0</v>
      </c>
      <c r="H109">
        <f t="shared" ca="1" si="31"/>
        <v>0</v>
      </c>
      <c r="I109">
        <f t="shared" ca="1" si="32"/>
        <v>1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3" t="str">
        <f t="shared" ca="1" si="34"/>
        <v/>
      </c>
      <c r="M109" s="144" t="s">
        <v>198</v>
      </c>
      <c r="N109" s="145" t="str">
        <f t="shared" ca="1" si="35"/>
        <v>Serviço</v>
      </c>
      <c r="O109" s="146" t="str">
        <f t="shared" ca="1" si="36"/>
        <v>-</v>
      </c>
      <c r="P109" s="147" t="s">
        <v>246</v>
      </c>
      <c r="Q109" s="148"/>
      <c r="R109" s="149" t="str">
        <f t="shared" ca="1" si="37"/>
        <v>(abra o arquivo 'Referência 05-2023.xls)</v>
      </c>
      <c r="S109" s="150" t="str">
        <f t="shared" ca="1" si="38"/>
        <v>-</v>
      </c>
      <c r="T109" s="151">
        <f ca="1">OFFSET(CÁLCULO!H$15,ROW($T109)-ROW(T$15),0)</f>
        <v>0</v>
      </c>
      <c r="U109" s="152"/>
      <c r="V109" s="153" t="s">
        <v>155</v>
      </c>
      <c r="W109" s="151">
        <f t="shared" ca="1" si="39"/>
        <v>0</v>
      </c>
      <c r="X109" s="154">
        <f t="shared" ca="1" si="40"/>
        <v>0</v>
      </c>
      <c r="Y109" s="155" t="s">
        <v>244</v>
      </c>
      <c r="Z109" t="str">
        <f t="shared" ca="1" si="41"/>
        <v/>
      </c>
      <c r="AA109" s="156">
        <f ca="1">IF($C109="S",IF($Z109="CP",$X109,IF($Z109="RA",(($X109)*QCI!$AA$3),0)),SomaAgrup)</f>
        <v>0</v>
      </c>
      <c r="AB109" s="157">
        <f t="shared" ca="1" si="42"/>
        <v>0</v>
      </c>
      <c r="AC109" s="158" t="str">
        <f t="shared" ca="1" si="43"/>
        <v/>
      </c>
      <c r="AD109" s="104" t="str">
        <f ca="1">IF(C109&lt;=CRONO.NivelExibicao,MAX($AD$15:OFFSET(AD109,-1,0))+IF($C109&lt;&gt;1,1,MAX(1,COUNTIF(QCI!$A$13:$A$24,OFFSET($E109,-1,0)))),"")</f>
        <v/>
      </c>
      <c r="AE109" s="114" t="b">
        <f t="shared" ca="1" si="44"/>
        <v>0</v>
      </c>
      <c r="AF109" s="159" t="str">
        <f t="shared" ca="1" si="45"/>
        <v>(abra o arquivo 'Referência 05-2023.xls)</v>
      </c>
      <c r="AG109" s="549">
        <f t="shared" ca="1" si="46"/>
        <v>0</v>
      </c>
      <c r="AH109" s="550">
        <f t="shared" ca="1" si="47"/>
        <v>0.25</v>
      </c>
      <c r="AJ109" s="552"/>
      <c r="AL109" s="573"/>
      <c r="AM109" s="430">
        <f t="shared" ca="1" si="48"/>
        <v>0</v>
      </c>
      <c r="AN109" s="616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4</v>
      </c>
      <c r="G110">
        <f t="shared" ca="1" si="30"/>
        <v>0</v>
      </c>
      <c r="H110">
        <f t="shared" ca="1" si="31"/>
        <v>0</v>
      </c>
      <c r="I110">
        <f t="shared" ca="1" si="32"/>
        <v>1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3" t="str">
        <f t="shared" ca="1" si="34"/>
        <v/>
      </c>
      <c r="M110" s="144" t="s">
        <v>198</v>
      </c>
      <c r="N110" s="145" t="str">
        <f t="shared" ca="1" si="35"/>
        <v>Serviço</v>
      </c>
      <c r="O110" s="146" t="str">
        <f t="shared" ca="1" si="36"/>
        <v>-</v>
      </c>
      <c r="P110" s="147" t="s">
        <v>246</v>
      </c>
      <c r="Q110" s="148"/>
      <c r="R110" s="149" t="str">
        <f t="shared" ca="1" si="37"/>
        <v>(abra o arquivo 'Referência 05-2023.xls)</v>
      </c>
      <c r="S110" s="150" t="str">
        <f t="shared" ca="1" si="38"/>
        <v>-</v>
      </c>
      <c r="T110" s="151">
        <f ca="1">OFFSET(CÁLCULO!H$15,ROW($T110)-ROW(T$15),0)</f>
        <v>0</v>
      </c>
      <c r="U110" s="152"/>
      <c r="V110" s="153" t="s">
        <v>155</v>
      </c>
      <c r="W110" s="151">
        <f t="shared" ca="1" si="39"/>
        <v>0</v>
      </c>
      <c r="X110" s="154">
        <f t="shared" ca="1" si="40"/>
        <v>0</v>
      </c>
      <c r="Y110" s="155" t="s">
        <v>244</v>
      </c>
      <c r="Z110" t="str">
        <f t="shared" ca="1" si="41"/>
        <v/>
      </c>
      <c r="AA110" s="156">
        <f ca="1">IF($C110="S",IF($Z110="CP",$X110,IF($Z110="RA",(($X110)*QCI!$AA$3),0)),SomaAgrup)</f>
        <v>0</v>
      </c>
      <c r="AB110" s="157">
        <f t="shared" ca="1" si="42"/>
        <v>0</v>
      </c>
      <c r="AC110" s="158" t="str">
        <f t="shared" ca="1" si="43"/>
        <v/>
      </c>
      <c r="AD110" s="104" t="str">
        <f ca="1">IF(C110&lt;=CRONO.NivelExibicao,MAX($AD$15:OFFSET(AD110,-1,0))+IF($C110&lt;&gt;1,1,MAX(1,COUNTIF(QCI!$A$13:$A$24,OFFSET($E110,-1,0)))),"")</f>
        <v/>
      </c>
      <c r="AE110" s="114" t="b">
        <f t="shared" ca="1" si="44"/>
        <v>0</v>
      </c>
      <c r="AF110" s="159" t="str">
        <f t="shared" ca="1" si="45"/>
        <v>(abra o arquivo 'Referência 05-2023.xls)</v>
      </c>
      <c r="AG110" s="549">
        <f t="shared" ca="1" si="46"/>
        <v>0</v>
      </c>
      <c r="AH110" s="550">
        <f t="shared" ca="1" si="47"/>
        <v>0.25</v>
      </c>
      <c r="AJ110" s="552"/>
      <c r="AL110" s="573"/>
      <c r="AM110" s="430">
        <f t="shared" ca="1" si="48"/>
        <v>0</v>
      </c>
      <c r="AN110" s="616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4</v>
      </c>
      <c r="G111">
        <f t="shared" ca="1" si="30"/>
        <v>0</v>
      </c>
      <c r="H111">
        <f t="shared" ca="1" si="31"/>
        <v>0</v>
      </c>
      <c r="I111">
        <f t="shared" ca="1" si="32"/>
        <v>1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3" t="str">
        <f t="shared" ca="1" si="34"/>
        <v/>
      </c>
      <c r="M111" s="144" t="s">
        <v>198</v>
      </c>
      <c r="N111" s="145" t="str">
        <f t="shared" ca="1" si="35"/>
        <v>Serviço</v>
      </c>
      <c r="O111" s="146" t="str">
        <f t="shared" ca="1" si="36"/>
        <v>-</v>
      </c>
      <c r="P111" s="147" t="s">
        <v>246</v>
      </c>
      <c r="Q111" s="148"/>
      <c r="R111" s="149" t="str">
        <f t="shared" ca="1" si="37"/>
        <v>(abra o arquivo 'Referência 05-2023.xls)</v>
      </c>
      <c r="S111" s="150" t="str">
        <f t="shared" ca="1" si="38"/>
        <v>-</v>
      </c>
      <c r="T111" s="151">
        <f ca="1">OFFSET(CÁLCULO!H$15,ROW($T111)-ROW(T$15),0)</f>
        <v>0</v>
      </c>
      <c r="U111" s="152"/>
      <c r="V111" s="153" t="s">
        <v>155</v>
      </c>
      <c r="W111" s="151">
        <f t="shared" ca="1" si="39"/>
        <v>0</v>
      </c>
      <c r="X111" s="154">
        <f t="shared" ca="1" si="40"/>
        <v>0</v>
      </c>
      <c r="Y111" s="155" t="s">
        <v>244</v>
      </c>
      <c r="Z111" t="str">
        <f t="shared" ca="1" si="41"/>
        <v/>
      </c>
      <c r="AA111" s="156">
        <f ca="1">IF($C111="S",IF($Z111="CP",$X111,IF($Z111="RA",(($X111)*QCI!$AA$3),0)),SomaAgrup)</f>
        <v>0</v>
      </c>
      <c r="AB111" s="157">
        <f t="shared" ca="1" si="42"/>
        <v>0</v>
      </c>
      <c r="AC111" s="158" t="str">
        <f t="shared" ca="1" si="43"/>
        <v/>
      </c>
      <c r="AD111" s="104" t="str">
        <f ca="1">IF(C111&lt;=CRONO.NivelExibicao,MAX($AD$15:OFFSET(AD111,-1,0))+IF($C111&lt;&gt;1,1,MAX(1,COUNTIF(QCI!$A$13:$A$24,OFFSET($E111,-1,0)))),"")</f>
        <v/>
      </c>
      <c r="AE111" s="114" t="b">
        <f t="shared" ca="1" si="44"/>
        <v>0</v>
      </c>
      <c r="AF111" s="159" t="str">
        <f t="shared" ca="1" si="45"/>
        <v>(abra o arquivo 'Referência 05-2023.xls)</v>
      </c>
      <c r="AG111" s="549">
        <f t="shared" ca="1" si="46"/>
        <v>0</v>
      </c>
      <c r="AH111" s="550">
        <f t="shared" ca="1" si="47"/>
        <v>0.25</v>
      </c>
      <c r="AJ111" s="552"/>
      <c r="AL111" s="573"/>
      <c r="AM111" s="430">
        <f t="shared" ca="1" si="48"/>
        <v>0</v>
      </c>
      <c r="AN111" s="616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4</v>
      </c>
      <c r="G112">
        <f t="shared" ca="1" si="30"/>
        <v>0</v>
      </c>
      <c r="H112">
        <f t="shared" ca="1" si="31"/>
        <v>0</v>
      </c>
      <c r="I112">
        <f t="shared" ca="1" si="32"/>
        <v>1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3" t="str">
        <f t="shared" ca="1" si="34"/>
        <v/>
      </c>
      <c r="M112" s="144" t="s">
        <v>198</v>
      </c>
      <c r="N112" s="145" t="str">
        <f t="shared" ca="1" si="35"/>
        <v>Serviço</v>
      </c>
      <c r="O112" s="146" t="str">
        <f t="shared" ca="1" si="36"/>
        <v>-</v>
      </c>
      <c r="P112" s="147" t="s">
        <v>246</v>
      </c>
      <c r="Q112" s="148"/>
      <c r="R112" s="149" t="str">
        <f t="shared" ca="1" si="37"/>
        <v>(abra o arquivo 'Referência 05-2023.xls)</v>
      </c>
      <c r="S112" s="150" t="str">
        <f t="shared" ca="1" si="38"/>
        <v>-</v>
      </c>
      <c r="T112" s="151">
        <f ca="1">OFFSET(CÁLCULO!H$15,ROW($T112)-ROW(T$15),0)</f>
        <v>0</v>
      </c>
      <c r="U112" s="152"/>
      <c r="V112" s="153" t="s">
        <v>155</v>
      </c>
      <c r="W112" s="151">
        <f t="shared" ca="1" si="39"/>
        <v>0</v>
      </c>
      <c r="X112" s="154">
        <f t="shared" ca="1" si="40"/>
        <v>0</v>
      </c>
      <c r="Y112" s="155" t="s">
        <v>244</v>
      </c>
      <c r="Z112" t="str">
        <f t="shared" ca="1" si="41"/>
        <v/>
      </c>
      <c r="AA112" s="156">
        <f ca="1">IF($C112="S",IF($Z112="CP",$X112,IF($Z112="RA",(($X112)*QCI!$AA$3),0)),SomaAgrup)</f>
        <v>0</v>
      </c>
      <c r="AB112" s="157">
        <f t="shared" ca="1" si="42"/>
        <v>0</v>
      </c>
      <c r="AC112" s="158" t="str">
        <f t="shared" ca="1" si="43"/>
        <v/>
      </c>
      <c r="AD112" s="104" t="str">
        <f ca="1">IF(C112&lt;=CRONO.NivelExibicao,MAX($AD$15:OFFSET(AD112,-1,0))+IF($C112&lt;&gt;1,1,MAX(1,COUNTIF(QCI!$A$13:$A$24,OFFSET($E112,-1,0)))),"")</f>
        <v/>
      </c>
      <c r="AE112" s="114" t="b">
        <f t="shared" ca="1" si="44"/>
        <v>0</v>
      </c>
      <c r="AF112" s="159" t="str">
        <f t="shared" ca="1" si="45"/>
        <v>(abra o arquivo 'Referência 05-2023.xls)</v>
      </c>
      <c r="AG112" s="549">
        <f t="shared" ca="1" si="46"/>
        <v>0</v>
      </c>
      <c r="AH112" s="550">
        <f t="shared" ca="1" si="47"/>
        <v>0.25</v>
      </c>
      <c r="AJ112" s="552"/>
      <c r="AL112" s="573"/>
      <c r="AM112" s="430">
        <f t="shared" ca="1" si="48"/>
        <v>0</v>
      </c>
      <c r="AN112" s="616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4</v>
      </c>
      <c r="G113">
        <f t="shared" ca="1" si="30"/>
        <v>0</v>
      </c>
      <c r="H113">
        <f t="shared" ca="1" si="31"/>
        <v>0</v>
      </c>
      <c r="I113">
        <f t="shared" ca="1" si="32"/>
        <v>1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3" t="str">
        <f t="shared" ca="1" si="34"/>
        <v/>
      </c>
      <c r="M113" s="144" t="s">
        <v>198</v>
      </c>
      <c r="N113" s="145" t="str">
        <f t="shared" ca="1" si="35"/>
        <v>Serviço</v>
      </c>
      <c r="O113" s="146" t="str">
        <f t="shared" ca="1" si="36"/>
        <v>-</v>
      </c>
      <c r="P113" s="147" t="s">
        <v>246</v>
      </c>
      <c r="Q113" s="148"/>
      <c r="R113" s="149" t="str">
        <f t="shared" ca="1" si="37"/>
        <v>(abra o arquivo 'Referência 05-2023.xls)</v>
      </c>
      <c r="S113" s="150" t="str">
        <f t="shared" ca="1" si="38"/>
        <v>-</v>
      </c>
      <c r="T113" s="151">
        <f ca="1">OFFSET(CÁLCULO!H$15,ROW($T113)-ROW(T$15),0)</f>
        <v>0</v>
      </c>
      <c r="U113" s="152"/>
      <c r="V113" s="153" t="s">
        <v>155</v>
      </c>
      <c r="W113" s="151">
        <f t="shared" ca="1" si="39"/>
        <v>0</v>
      </c>
      <c r="X113" s="154">
        <f t="shared" ca="1" si="40"/>
        <v>0</v>
      </c>
      <c r="Y113" s="155" t="s">
        <v>244</v>
      </c>
      <c r="Z113" t="str">
        <f t="shared" ca="1" si="41"/>
        <v/>
      </c>
      <c r="AA113" s="156">
        <f ca="1">IF($C113="S",IF($Z113="CP",$X113,IF($Z113="RA",(($X113)*QCI!$AA$3),0)),SomaAgrup)</f>
        <v>0</v>
      </c>
      <c r="AB113" s="157">
        <f t="shared" ca="1" si="42"/>
        <v>0</v>
      </c>
      <c r="AC113" s="158" t="str">
        <f t="shared" ca="1" si="43"/>
        <v/>
      </c>
      <c r="AD113" s="104" t="str">
        <f ca="1">IF(C113&lt;=CRONO.NivelExibicao,MAX($AD$15:OFFSET(AD113,-1,0))+IF($C113&lt;&gt;1,1,MAX(1,COUNTIF(QCI!$A$13:$A$24,OFFSET($E113,-1,0)))),"")</f>
        <v/>
      </c>
      <c r="AE113" s="114" t="b">
        <f t="shared" ca="1" si="44"/>
        <v>0</v>
      </c>
      <c r="AF113" s="159" t="str">
        <f t="shared" ca="1" si="45"/>
        <v>(abra o arquivo 'Referência 05-2023.xls)</v>
      </c>
      <c r="AG113" s="549">
        <f t="shared" ca="1" si="46"/>
        <v>0</v>
      </c>
      <c r="AH113" s="550">
        <f t="shared" ca="1" si="47"/>
        <v>0.25</v>
      </c>
      <c r="AJ113" s="552"/>
      <c r="AL113" s="573"/>
      <c r="AM113" s="430">
        <f t="shared" ca="1" si="48"/>
        <v>0</v>
      </c>
      <c r="AN113" s="616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4</v>
      </c>
      <c r="G114">
        <f t="shared" ca="1" si="30"/>
        <v>0</v>
      </c>
      <c r="H114">
        <f t="shared" ca="1" si="31"/>
        <v>0</v>
      </c>
      <c r="I114">
        <f t="shared" ca="1" si="32"/>
        <v>1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3" t="str">
        <f t="shared" ca="1" si="34"/>
        <v/>
      </c>
      <c r="M114" s="144" t="s">
        <v>198</v>
      </c>
      <c r="N114" s="145" t="str">
        <f t="shared" ca="1" si="35"/>
        <v>Serviço</v>
      </c>
      <c r="O114" s="146" t="str">
        <f t="shared" ca="1" si="36"/>
        <v>-</v>
      </c>
      <c r="P114" s="147" t="s">
        <v>246</v>
      </c>
      <c r="Q114" s="148"/>
      <c r="R114" s="149" t="str">
        <f t="shared" ca="1" si="37"/>
        <v>(abra o arquivo 'Referência 05-2023.xls)</v>
      </c>
      <c r="S114" s="150" t="str">
        <f t="shared" ca="1" si="38"/>
        <v>-</v>
      </c>
      <c r="T114" s="151">
        <f ca="1">OFFSET(CÁLCULO!H$15,ROW($T114)-ROW(T$15),0)</f>
        <v>0</v>
      </c>
      <c r="U114" s="152"/>
      <c r="V114" s="153" t="s">
        <v>155</v>
      </c>
      <c r="W114" s="151">
        <f t="shared" ca="1" si="39"/>
        <v>0</v>
      </c>
      <c r="X114" s="154">
        <f t="shared" ca="1" si="40"/>
        <v>0</v>
      </c>
      <c r="Y114" s="155" t="s">
        <v>244</v>
      </c>
      <c r="Z114" t="str">
        <f t="shared" ca="1" si="41"/>
        <v/>
      </c>
      <c r="AA114" s="156">
        <f ca="1">IF($C114="S",IF($Z114="CP",$X114,IF($Z114="RA",(($X114)*QCI!$AA$3),0)),SomaAgrup)</f>
        <v>0</v>
      </c>
      <c r="AB114" s="157">
        <f t="shared" ca="1" si="42"/>
        <v>0</v>
      </c>
      <c r="AC114" s="158" t="str">
        <f t="shared" ca="1" si="43"/>
        <v/>
      </c>
      <c r="AD114" s="104" t="str">
        <f ca="1">IF(C114&lt;=CRONO.NivelExibicao,MAX($AD$15:OFFSET(AD114,-1,0))+IF($C114&lt;&gt;1,1,MAX(1,COUNTIF(QCI!$A$13:$A$24,OFFSET($E114,-1,0)))),"")</f>
        <v/>
      </c>
      <c r="AE114" s="114" t="b">
        <f t="shared" ca="1" si="44"/>
        <v>0</v>
      </c>
      <c r="AF114" s="159" t="str">
        <f t="shared" ca="1" si="45"/>
        <v>(abra o arquivo 'Referência 05-2023.xls)</v>
      </c>
      <c r="AG114" s="549">
        <f t="shared" ca="1" si="46"/>
        <v>0</v>
      </c>
      <c r="AH114" s="550">
        <f t="shared" ca="1" si="47"/>
        <v>0.25</v>
      </c>
      <c r="AJ114" s="552"/>
      <c r="AL114" s="573"/>
      <c r="AM114" s="430">
        <f t="shared" ca="1" si="48"/>
        <v>0</v>
      </c>
      <c r="AN114" s="616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4</v>
      </c>
      <c r="G115">
        <f t="shared" ca="1" si="30"/>
        <v>0</v>
      </c>
      <c r="H115">
        <f t="shared" ca="1" si="31"/>
        <v>0</v>
      </c>
      <c r="I115">
        <f t="shared" ca="1" si="32"/>
        <v>1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3" t="str">
        <f t="shared" ca="1" si="34"/>
        <v/>
      </c>
      <c r="M115" s="144" t="s">
        <v>198</v>
      </c>
      <c r="N115" s="145" t="str">
        <f t="shared" ca="1" si="35"/>
        <v>Serviço</v>
      </c>
      <c r="O115" s="146" t="str">
        <f t="shared" ca="1" si="36"/>
        <v>-</v>
      </c>
      <c r="P115" s="147" t="s">
        <v>246</v>
      </c>
      <c r="Q115" s="148"/>
      <c r="R115" s="149" t="str">
        <f t="shared" ca="1" si="37"/>
        <v>(abra o arquivo 'Referência 05-2023.xls)</v>
      </c>
      <c r="S115" s="150" t="str">
        <f t="shared" ca="1" si="38"/>
        <v>-</v>
      </c>
      <c r="T115" s="151">
        <f ca="1">OFFSET(CÁLCULO!H$15,ROW($T115)-ROW(T$15),0)</f>
        <v>0</v>
      </c>
      <c r="U115" s="152"/>
      <c r="V115" s="153" t="s">
        <v>155</v>
      </c>
      <c r="W115" s="151">
        <f t="shared" ca="1" si="39"/>
        <v>0</v>
      </c>
      <c r="X115" s="154">
        <f t="shared" ca="1" si="40"/>
        <v>0</v>
      </c>
      <c r="Y115" s="155" t="s">
        <v>244</v>
      </c>
      <c r="Z115" t="str">
        <f t="shared" ca="1" si="41"/>
        <v/>
      </c>
      <c r="AA115" s="156">
        <f ca="1">IF($C115="S",IF($Z115="CP",$X115,IF($Z115="RA",(($X115)*QCI!$AA$3),0)),SomaAgrup)</f>
        <v>0</v>
      </c>
      <c r="AB115" s="157">
        <f t="shared" ca="1" si="42"/>
        <v>0</v>
      </c>
      <c r="AC115" s="158" t="str">
        <f t="shared" ca="1" si="43"/>
        <v/>
      </c>
      <c r="AD115" s="104" t="str">
        <f ca="1">IF(C115&lt;=CRONO.NivelExibicao,MAX($AD$15:OFFSET(AD115,-1,0))+IF($C115&lt;&gt;1,1,MAX(1,COUNTIF(QCI!$A$13:$A$24,OFFSET($E115,-1,0)))),"")</f>
        <v/>
      </c>
      <c r="AE115" s="114" t="b">
        <f t="shared" ca="1" si="44"/>
        <v>0</v>
      </c>
      <c r="AF115" s="159" t="str">
        <f t="shared" ca="1" si="45"/>
        <v>(abra o arquivo 'Referência 05-2023.xls)</v>
      </c>
      <c r="AG115" s="549">
        <f t="shared" ca="1" si="46"/>
        <v>0</v>
      </c>
      <c r="AH115" s="550">
        <f t="shared" ca="1" si="47"/>
        <v>0.25</v>
      </c>
      <c r="AJ115" s="552"/>
      <c r="AL115" s="573"/>
      <c r="AM115" s="430">
        <f t="shared" ca="1" si="48"/>
        <v>0</v>
      </c>
      <c r="AN115" s="616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4</v>
      </c>
      <c r="G116">
        <f t="shared" ca="1" si="30"/>
        <v>0</v>
      </c>
      <c r="H116">
        <f t="shared" ca="1" si="31"/>
        <v>0</v>
      </c>
      <c r="I116">
        <f t="shared" ca="1" si="32"/>
        <v>1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3" t="str">
        <f t="shared" ca="1" si="34"/>
        <v/>
      </c>
      <c r="M116" s="144" t="s">
        <v>198</v>
      </c>
      <c r="N116" s="145" t="str">
        <f t="shared" ca="1" si="35"/>
        <v>Serviço</v>
      </c>
      <c r="O116" s="146" t="str">
        <f t="shared" ca="1" si="36"/>
        <v>-</v>
      </c>
      <c r="P116" s="147" t="s">
        <v>246</v>
      </c>
      <c r="Q116" s="148"/>
      <c r="R116" s="149" t="str">
        <f t="shared" ca="1" si="37"/>
        <v>(abra o arquivo 'Referência 05-2023.xls)</v>
      </c>
      <c r="S116" s="150" t="str">
        <f t="shared" ca="1" si="38"/>
        <v>-</v>
      </c>
      <c r="T116" s="151">
        <f ca="1">OFFSET(CÁLCULO!H$15,ROW($T116)-ROW(T$15),0)</f>
        <v>0</v>
      </c>
      <c r="U116" s="152"/>
      <c r="V116" s="153" t="s">
        <v>155</v>
      </c>
      <c r="W116" s="151">
        <f t="shared" ca="1" si="39"/>
        <v>0</v>
      </c>
      <c r="X116" s="154">
        <f t="shared" ca="1" si="40"/>
        <v>0</v>
      </c>
      <c r="Y116" s="155" t="s">
        <v>244</v>
      </c>
      <c r="Z116" t="str">
        <f t="shared" ca="1" si="41"/>
        <v/>
      </c>
      <c r="AA116" s="156">
        <f ca="1">IF($C116="S",IF($Z116="CP",$X116,IF($Z116="RA",(($X116)*QCI!$AA$3),0)),SomaAgrup)</f>
        <v>0</v>
      </c>
      <c r="AB116" s="157">
        <f t="shared" ca="1" si="42"/>
        <v>0</v>
      </c>
      <c r="AC116" s="158" t="str">
        <f t="shared" ca="1" si="43"/>
        <v/>
      </c>
      <c r="AD116" s="104" t="str">
        <f ca="1">IF(C116&lt;=CRONO.NivelExibicao,MAX($AD$15:OFFSET(AD116,-1,0))+IF($C116&lt;&gt;1,1,MAX(1,COUNTIF(QCI!$A$13:$A$24,OFFSET($E116,-1,0)))),"")</f>
        <v/>
      </c>
      <c r="AE116" s="114" t="b">
        <f t="shared" ca="1" si="44"/>
        <v>0</v>
      </c>
      <c r="AF116" s="159" t="str">
        <f t="shared" ca="1" si="45"/>
        <v>(abra o arquivo 'Referência 05-2023.xls)</v>
      </c>
      <c r="AG116" s="549">
        <f t="shared" ca="1" si="46"/>
        <v>0</v>
      </c>
      <c r="AH116" s="550">
        <f t="shared" ca="1" si="47"/>
        <v>0.25</v>
      </c>
      <c r="AJ116" s="552"/>
      <c r="AL116" s="573"/>
      <c r="AM116" s="430">
        <f t="shared" ca="1" si="48"/>
        <v>0</v>
      </c>
      <c r="AN116" s="616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4</v>
      </c>
      <c r="G117">
        <f t="shared" ca="1" si="30"/>
        <v>0</v>
      </c>
      <c r="H117">
        <f t="shared" ca="1" si="31"/>
        <v>0</v>
      </c>
      <c r="I117">
        <f t="shared" ca="1" si="32"/>
        <v>1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3" t="str">
        <f t="shared" ca="1" si="34"/>
        <v/>
      </c>
      <c r="M117" s="144" t="s">
        <v>198</v>
      </c>
      <c r="N117" s="145" t="str">
        <f t="shared" ca="1" si="35"/>
        <v>Serviço</v>
      </c>
      <c r="O117" s="146" t="str">
        <f t="shared" ca="1" si="36"/>
        <v>-</v>
      </c>
      <c r="P117" s="147" t="s">
        <v>246</v>
      </c>
      <c r="Q117" s="148"/>
      <c r="R117" s="149" t="str">
        <f t="shared" ca="1" si="37"/>
        <v>(abra o arquivo 'Referência 05-2023.xls)</v>
      </c>
      <c r="S117" s="150" t="str">
        <f t="shared" ca="1" si="38"/>
        <v>-</v>
      </c>
      <c r="T117" s="151">
        <f ca="1">OFFSET(CÁLCULO!H$15,ROW($T117)-ROW(T$15),0)</f>
        <v>0</v>
      </c>
      <c r="U117" s="152"/>
      <c r="V117" s="153" t="s">
        <v>155</v>
      </c>
      <c r="W117" s="151">
        <f t="shared" ca="1" si="39"/>
        <v>0</v>
      </c>
      <c r="X117" s="154">
        <f t="shared" ca="1" si="40"/>
        <v>0</v>
      </c>
      <c r="Y117" s="155" t="s">
        <v>244</v>
      </c>
      <c r="Z117" t="str">
        <f t="shared" ca="1" si="41"/>
        <v/>
      </c>
      <c r="AA117" s="156">
        <f ca="1">IF($C117="S",IF($Z117="CP",$X117,IF($Z117="RA",(($X117)*QCI!$AA$3),0)),SomaAgrup)</f>
        <v>0</v>
      </c>
      <c r="AB117" s="157">
        <f t="shared" ca="1" si="42"/>
        <v>0</v>
      </c>
      <c r="AC117" s="158" t="str">
        <f t="shared" ca="1" si="43"/>
        <v/>
      </c>
      <c r="AD117" s="104" t="str">
        <f ca="1">IF(C117&lt;=CRONO.NivelExibicao,MAX($AD$15:OFFSET(AD117,-1,0))+IF($C117&lt;&gt;1,1,MAX(1,COUNTIF(QCI!$A$13:$A$24,OFFSET($E117,-1,0)))),"")</f>
        <v/>
      </c>
      <c r="AE117" s="114" t="b">
        <f t="shared" ca="1" si="44"/>
        <v>0</v>
      </c>
      <c r="AF117" s="159" t="str">
        <f t="shared" ca="1" si="45"/>
        <v>(abra o arquivo 'Referência 05-2023.xls)</v>
      </c>
      <c r="AG117" s="549">
        <f t="shared" ca="1" si="46"/>
        <v>0</v>
      </c>
      <c r="AH117" s="550">
        <f t="shared" ca="1" si="47"/>
        <v>0.25</v>
      </c>
      <c r="AJ117" s="552"/>
      <c r="AL117" s="573"/>
      <c r="AM117" s="430">
        <f t="shared" ca="1" si="48"/>
        <v>0</v>
      </c>
      <c r="AN117" s="616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4</v>
      </c>
      <c r="G118">
        <f t="shared" ca="1" si="30"/>
        <v>0</v>
      </c>
      <c r="H118">
        <f t="shared" ca="1" si="31"/>
        <v>0</v>
      </c>
      <c r="I118">
        <f t="shared" ca="1" si="32"/>
        <v>1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3" t="str">
        <f t="shared" ca="1" si="34"/>
        <v/>
      </c>
      <c r="M118" s="144" t="s">
        <v>198</v>
      </c>
      <c r="N118" s="145" t="str">
        <f t="shared" ca="1" si="35"/>
        <v>Serviço</v>
      </c>
      <c r="O118" s="146" t="str">
        <f t="shared" ca="1" si="36"/>
        <v>-</v>
      </c>
      <c r="P118" s="147" t="s">
        <v>246</v>
      </c>
      <c r="Q118" s="148"/>
      <c r="R118" s="149" t="str">
        <f t="shared" ca="1" si="37"/>
        <v>(abra o arquivo 'Referência 05-2023.xls)</v>
      </c>
      <c r="S118" s="150" t="str">
        <f t="shared" ca="1" si="38"/>
        <v>-</v>
      </c>
      <c r="T118" s="151">
        <f ca="1">OFFSET(CÁLCULO!H$15,ROW($T118)-ROW(T$15),0)</f>
        <v>0</v>
      </c>
      <c r="U118" s="152"/>
      <c r="V118" s="153" t="s">
        <v>155</v>
      </c>
      <c r="W118" s="151">
        <f t="shared" ca="1" si="39"/>
        <v>0</v>
      </c>
      <c r="X118" s="154">
        <f t="shared" ca="1" si="40"/>
        <v>0</v>
      </c>
      <c r="Y118" s="155" t="s">
        <v>244</v>
      </c>
      <c r="Z118" t="str">
        <f t="shared" ca="1" si="41"/>
        <v/>
      </c>
      <c r="AA118" s="156">
        <f ca="1">IF($C118="S",IF($Z118="CP",$X118,IF($Z118="RA",(($X118)*QCI!$AA$3),0)),SomaAgrup)</f>
        <v>0</v>
      </c>
      <c r="AB118" s="157">
        <f t="shared" ca="1" si="42"/>
        <v>0</v>
      </c>
      <c r="AC118" s="158" t="str">
        <f t="shared" ca="1" si="43"/>
        <v/>
      </c>
      <c r="AD118" s="104" t="str">
        <f ca="1">IF(C118&lt;=CRONO.NivelExibicao,MAX($AD$15:OFFSET(AD118,-1,0))+IF($C118&lt;&gt;1,1,MAX(1,COUNTIF(QCI!$A$13:$A$24,OFFSET($E118,-1,0)))),"")</f>
        <v/>
      </c>
      <c r="AE118" s="114" t="b">
        <f t="shared" ca="1" si="44"/>
        <v>0</v>
      </c>
      <c r="AF118" s="159" t="str">
        <f t="shared" ca="1" si="45"/>
        <v>(abra o arquivo 'Referência 05-2023.xls)</v>
      </c>
      <c r="AG118" s="549">
        <f t="shared" ca="1" si="46"/>
        <v>0</v>
      </c>
      <c r="AH118" s="550">
        <f t="shared" ca="1" si="47"/>
        <v>0.25</v>
      </c>
      <c r="AJ118" s="552"/>
      <c r="AL118" s="573"/>
      <c r="AM118" s="430">
        <f t="shared" ca="1" si="48"/>
        <v>0</v>
      </c>
      <c r="AN118" s="616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4</v>
      </c>
      <c r="G119">
        <f t="shared" ca="1" si="30"/>
        <v>0</v>
      </c>
      <c r="H119">
        <f t="shared" ca="1" si="31"/>
        <v>0</v>
      </c>
      <c r="I119">
        <f t="shared" ca="1" si="32"/>
        <v>1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3" t="str">
        <f t="shared" ca="1" si="34"/>
        <v/>
      </c>
      <c r="M119" s="144" t="s">
        <v>198</v>
      </c>
      <c r="N119" s="145" t="str">
        <f t="shared" ca="1" si="35"/>
        <v>Serviço</v>
      </c>
      <c r="O119" s="146" t="str">
        <f t="shared" ca="1" si="36"/>
        <v>-</v>
      </c>
      <c r="P119" s="147" t="s">
        <v>246</v>
      </c>
      <c r="Q119" s="148"/>
      <c r="R119" s="149" t="str">
        <f t="shared" ca="1" si="37"/>
        <v>(abra o arquivo 'Referência 05-2023.xls)</v>
      </c>
      <c r="S119" s="150" t="str">
        <f t="shared" ca="1" si="38"/>
        <v>-</v>
      </c>
      <c r="T119" s="151">
        <f ca="1">OFFSET(CÁLCULO!H$15,ROW($T119)-ROW(T$15),0)</f>
        <v>0</v>
      </c>
      <c r="U119" s="152"/>
      <c r="V119" s="153" t="s">
        <v>155</v>
      </c>
      <c r="W119" s="151">
        <f t="shared" ca="1" si="39"/>
        <v>0</v>
      </c>
      <c r="X119" s="154">
        <f t="shared" ca="1" si="40"/>
        <v>0</v>
      </c>
      <c r="Y119" s="155" t="s">
        <v>244</v>
      </c>
      <c r="Z119" t="str">
        <f t="shared" ca="1" si="41"/>
        <v/>
      </c>
      <c r="AA119" s="156">
        <f ca="1">IF($C119="S",IF($Z119="CP",$X119,IF($Z119="RA",(($X119)*QCI!$AA$3),0)),SomaAgrup)</f>
        <v>0</v>
      </c>
      <c r="AB119" s="157">
        <f t="shared" ca="1" si="42"/>
        <v>0</v>
      </c>
      <c r="AC119" s="158" t="str">
        <f t="shared" ca="1" si="43"/>
        <v/>
      </c>
      <c r="AD119" s="104" t="str">
        <f ca="1">IF(C119&lt;=CRONO.NivelExibicao,MAX($AD$15:OFFSET(AD119,-1,0))+IF($C119&lt;&gt;1,1,MAX(1,COUNTIF(QCI!$A$13:$A$24,OFFSET($E119,-1,0)))),"")</f>
        <v/>
      </c>
      <c r="AE119" s="114" t="b">
        <f t="shared" ca="1" si="44"/>
        <v>0</v>
      </c>
      <c r="AF119" s="159" t="str">
        <f t="shared" ca="1" si="45"/>
        <v>(abra o arquivo 'Referência 05-2023.xls)</v>
      </c>
      <c r="AG119" s="549">
        <f t="shared" ca="1" si="46"/>
        <v>0</v>
      </c>
      <c r="AH119" s="550">
        <f t="shared" ca="1" si="47"/>
        <v>0.25</v>
      </c>
      <c r="AJ119" s="552"/>
      <c r="AL119" s="573"/>
      <c r="AM119" s="430">
        <f t="shared" ca="1" si="48"/>
        <v>0</v>
      </c>
      <c r="AN119" s="616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4</v>
      </c>
      <c r="G120">
        <f t="shared" ca="1" si="30"/>
        <v>0</v>
      </c>
      <c r="H120">
        <f t="shared" ca="1" si="31"/>
        <v>0</v>
      </c>
      <c r="I120">
        <f t="shared" ca="1" si="32"/>
        <v>1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3" t="str">
        <f t="shared" ca="1" si="34"/>
        <v/>
      </c>
      <c r="M120" s="144" t="s">
        <v>198</v>
      </c>
      <c r="N120" s="145" t="str">
        <f t="shared" ca="1" si="35"/>
        <v>Serviço</v>
      </c>
      <c r="O120" s="146" t="str">
        <f t="shared" ca="1" si="36"/>
        <v>-</v>
      </c>
      <c r="P120" s="147" t="s">
        <v>246</v>
      </c>
      <c r="Q120" s="148"/>
      <c r="R120" s="149" t="str">
        <f t="shared" ca="1" si="37"/>
        <v>(abra o arquivo 'Referência 05-2023.xls)</v>
      </c>
      <c r="S120" s="150" t="str">
        <f t="shared" ca="1" si="38"/>
        <v>-</v>
      </c>
      <c r="T120" s="151">
        <f ca="1">OFFSET(CÁLCULO!H$15,ROW($T120)-ROW(T$15),0)</f>
        <v>0</v>
      </c>
      <c r="U120" s="152"/>
      <c r="V120" s="153" t="s">
        <v>155</v>
      </c>
      <c r="W120" s="151">
        <f t="shared" ca="1" si="39"/>
        <v>0</v>
      </c>
      <c r="X120" s="154">
        <f t="shared" ca="1" si="40"/>
        <v>0</v>
      </c>
      <c r="Y120" s="155" t="s">
        <v>244</v>
      </c>
      <c r="Z120" t="str">
        <f t="shared" ca="1" si="41"/>
        <v/>
      </c>
      <c r="AA120" s="156">
        <f ca="1">IF($C120="S",IF($Z120="CP",$X120,IF($Z120="RA",(($X120)*QCI!$AA$3),0)),SomaAgrup)</f>
        <v>0</v>
      </c>
      <c r="AB120" s="157">
        <f t="shared" ca="1" si="42"/>
        <v>0</v>
      </c>
      <c r="AC120" s="158" t="str">
        <f t="shared" ca="1" si="43"/>
        <v/>
      </c>
      <c r="AD120" s="104" t="str">
        <f ca="1">IF(C120&lt;=CRONO.NivelExibicao,MAX($AD$15:OFFSET(AD120,-1,0))+IF($C120&lt;&gt;1,1,MAX(1,COUNTIF(QCI!$A$13:$A$24,OFFSET($E120,-1,0)))),"")</f>
        <v/>
      </c>
      <c r="AE120" s="114" t="b">
        <f t="shared" ca="1" si="44"/>
        <v>0</v>
      </c>
      <c r="AF120" s="159" t="str">
        <f t="shared" ca="1" si="45"/>
        <v>(abra o arquivo 'Referência 05-2023.xls)</v>
      </c>
      <c r="AG120" s="549">
        <f t="shared" ca="1" si="46"/>
        <v>0</v>
      </c>
      <c r="AH120" s="550">
        <f t="shared" ca="1" si="47"/>
        <v>0.25</v>
      </c>
      <c r="AJ120" s="552"/>
      <c r="AL120" s="573"/>
      <c r="AM120" s="430">
        <f t="shared" ca="1" si="48"/>
        <v>0</v>
      </c>
      <c r="AN120" s="616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4</v>
      </c>
      <c r="G121">
        <f t="shared" ca="1" si="30"/>
        <v>0</v>
      </c>
      <c r="H121">
        <f t="shared" ca="1" si="31"/>
        <v>0</v>
      </c>
      <c r="I121">
        <f t="shared" ca="1" si="32"/>
        <v>1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3" t="str">
        <f t="shared" ca="1" si="34"/>
        <v/>
      </c>
      <c r="M121" s="144" t="s">
        <v>198</v>
      </c>
      <c r="N121" s="145" t="str">
        <f t="shared" ca="1" si="35"/>
        <v>Serviço</v>
      </c>
      <c r="O121" s="146" t="str">
        <f t="shared" ca="1" si="36"/>
        <v>-</v>
      </c>
      <c r="P121" s="147" t="s">
        <v>246</v>
      </c>
      <c r="Q121" s="148"/>
      <c r="R121" s="149" t="str">
        <f t="shared" ca="1" si="37"/>
        <v>(abra o arquivo 'Referência 05-2023.xls)</v>
      </c>
      <c r="S121" s="150" t="str">
        <f t="shared" ca="1" si="38"/>
        <v>-</v>
      </c>
      <c r="T121" s="151">
        <f ca="1">OFFSET(CÁLCULO!H$15,ROW($T121)-ROW(T$15),0)</f>
        <v>0</v>
      </c>
      <c r="U121" s="152"/>
      <c r="V121" s="153" t="s">
        <v>155</v>
      </c>
      <c r="W121" s="151">
        <f t="shared" ca="1" si="39"/>
        <v>0</v>
      </c>
      <c r="X121" s="154">
        <f t="shared" ca="1" si="40"/>
        <v>0</v>
      </c>
      <c r="Y121" s="155" t="s">
        <v>244</v>
      </c>
      <c r="Z121" t="str">
        <f t="shared" ca="1" si="41"/>
        <v/>
      </c>
      <c r="AA121" s="156">
        <f ca="1">IF($C121="S",IF($Z121="CP",$X121,IF($Z121="RA",(($X121)*QCI!$AA$3),0)),SomaAgrup)</f>
        <v>0</v>
      </c>
      <c r="AB121" s="157">
        <f t="shared" ca="1" si="42"/>
        <v>0</v>
      </c>
      <c r="AC121" s="158" t="str">
        <f t="shared" ca="1" si="43"/>
        <v/>
      </c>
      <c r="AD121" s="104" t="str">
        <f ca="1">IF(C121&lt;=CRONO.NivelExibicao,MAX($AD$15:OFFSET(AD121,-1,0))+IF($C121&lt;&gt;1,1,MAX(1,COUNTIF(QCI!$A$13:$A$24,OFFSET($E121,-1,0)))),"")</f>
        <v/>
      </c>
      <c r="AE121" s="114" t="b">
        <f t="shared" ca="1" si="44"/>
        <v>0</v>
      </c>
      <c r="AF121" s="159" t="str">
        <f t="shared" ca="1" si="45"/>
        <v>(abra o arquivo 'Referência 05-2023.xls)</v>
      </c>
      <c r="AG121" s="549">
        <f t="shared" ca="1" si="46"/>
        <v>0</v>
      </c>
      <c r="AH121" s="550">
        <f t="shared" ca="1" si="47"/>
        <v>0.25</v>
      </c>
      <c r="AJ121" s="552"/>
      <c r="AL121" s="573"/>
      <c r="AM121" s="430">
        <f t="shared" ca="1" si="48"/>
        <v>0</v>
      </c>
      <c r="AN121" s="616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4</v>
      </c>
      <c r="G122">
        <f t="shared" ca="1" si="30"/>
        <v>0</v>
      </c>
      <c r="H122">
        <f t="shared" ca="1" si="31"/>
        <v>0</v>
      </c>
      <c r="I122">
        <f t="shared" ca="1" si="32"/>
        <v>1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3" t="str">
        <f t="shared" ca="1" si="34"/>
        <v/>
      </c>
      <c r="M122" s="144" t="s">
        <v>198</v>
      </c>
      <c r="N122" s="145" t="str">
        <f t="shared" ca="1" si="35"/>
        <v>Serviço</v>
      </c>
      <c r="O122" s="146" t="str">
        <f t="shared" ca="1" si="36"/>
        <v>-</v>
      </c>
      <c r="P122" s="147" t="s">
        <v>246</v>
      </c>
      <c r="Q122" s="148"/>
      <c r="R122" s="149" t="str">
        <f t="shared" ca="1" si="37"/>
        <v>(abra o arquivo 'Referência 05-2023.xls)</v>
      </c>
      <c r="S122" s="150" t="str">
        <f t="shared" ca="1" si="38"/>
        <v>-</v>
      </c>
      <c r="T122" s="151">
        <f ca="1">OFFSET(CÁLCULO!H$15,ROW($T122)-ROW(T$15),0)</f>
        <v>0</v>
      </c>
      <c r="U122" s="152"/>
      <c r="V122" s="153" t="s">
        <v>155</v>
      </c>
      <c r="W122" s="151">
        <f t="shared" ca="1" si="39"/>
        <v>0</v>
      </c>
      <c r="X122" s="154">
        <f t="shared" ca="1" si="40"/>
        <v>0</v>
      </c>
      <c r="Y122" s="155" t="s">
        <v>244</v>
      </c>
      <c r="Z122" t="str">
        <f t="shared" ca="1" si="41"/>
        <v/>
      </c>
      <c r="AA122" s="156">
        <f ca="1">IF($C122="S",IF($Z122="CP",$X122,IF($Z122="RA",(($X122)*QCI!$AA$3),0)),SomaAgrup)</f>
        <v>0</v>
      </c>
      <c r="AB122" s="157">
        <f t="shared" ca="1" si="42"/>
        <v>0</v>
      </c>
      <c r="AC122" s="158" t="str">
        <f t="shared" ca="1" si="43"/>
        <v/>
      </c>
      <c r="AD122" s="104" t="str">
        <f ca="1">IF(C122&lt;=CRONO.NivelExibicao,MAX($AD$15:OFFSET(AD122,-1,0))+IF($C122&lt;&gt;1,1,MAX(1,COUNTIF(QCI!$A$13:$A$24,OFFSET($E122,-1,0)))),"")</f>
        <v/>
      </c>
      <c r="AE122" s="114" t="b">
        <f t="shared" ca="1" si="44"/>
        <v>0</v>
      </c>
      <c r="AF122" s="159" t="str">
        <f t="shared" ca="1" si="45"/>
        <v>(abra o arquivo 'Referência 05-2023.xls)</v>
      </c>
      <c r="AG122" s="549">
        <f t="shared" ca="1" si="46"/>
        <v>0</v>
      </c>
      <c r="AH122" s="550">
        <f t="shared" ca="1" si="47"/>
        <v>0.25</v>
      </c>
      <c r="AJ122" s="552"/>
      <c r="AL122" s="573"/>
      <c r="AM122" s="430">
        <f t="shared" ca="1" si="48"/>
        <v>0</v>
      </c>
      <c r="AN122" s="616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4</v>
      </c>
      <c r="G123">
        <f t="shared" ca="1" si="30"/>
        <v>0</v>
      </c>
      <c r="H123">
        <f t="shared" ca="1" si="31"/>
        <v>0</v>
      </c>
      <c r="I123">
        <f t="shared" ca="1" si="32"/>
        <v>1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3" t="str">
        <f t="shared" ca="1" si="34"/>
        <v/>
      </c>
      <c r="M123" s="144" t="s">
        <v>198</v>
      </c>
      <c r="N123" s="145" t="str">
        <f t="shared" ca="1" si="35"/>
        <v>Serviço</v>
      </c>
      <c r="O123" s="146" t="str">
        <f t="shared" ca="1" si="36"/>
        <v>-</v>
      </c>
      <c r="P123" s="147" t="s">
        <v>246</v>
      </c>
      <c r="Q123" s="148"/>
      <c r="R123" s="149" t="str">
        <f t="shared" ca="1" si="37"/>
        <v>(abra o arquivo 'Referência 05-2023.xls)</v>
      </c>
      <c r="S123" s="150" t="str">
        <f t="shared" ca="1" si="38"/>
        <v>-</v>
      </c>
      <c r="T123" s="151">
        <f ca="1">OFFSET(CÁLCULO!H$15,ROW($T123)-ROW(T$15),0)</f>
        <v>0</v>
      </c>
      <c r="U123" s="152"/>
      <c r="V123" s="153" t="s">
        <v>155</v>
      </c>
      <c r="W123" s="151">
        <f t="shared" ca="1" si="39"/>
        <v>0</v>
      </c>
      <c r="X123" s="154">
        <f t="shared" ca="1" si="40"/>
        <v>0</v>
      </c>
      <c r="Y123" s="155" t="s">
        <v>244</v>
      </c>
      <c r="Z123" t="str">
        <f t="shared" ca="1" si="41"/>
        <v/>
      </c>
      <c r="AA123" s="156">
        <f ca="1">IF($C123="S",IF($Z123="CP",$X123,IF($Z123="RA",(($X123)*QCI!$AA$3),0)),SomaAgrup)</f>
        <v>0</v>
      </c>
      <c r="AB123" s="157">
        <f t="shared" ca="1" si="42"/>
        <v>0</v>
      </c>
      <c r="AC123" s="158" t="str">
        <f t="shared" ca="1" si="43"/>
        <v/>
      </c>
      <c r="AD123" s="104" t="str">
        <f ca="1">IF(C123&lt;=CRONO.NivelExibicao,MAX($AD$15:OFFSET(AD123,-1,0))+IF($C123&lt;&gt;1,1,MAX(1,COUNTIF(QCI!$A$13:$A$24,OFFSET($E123,-1,0)))),"")</f>
        <v/>
      </c>
      <c r="AE123" s="114" t="b">
        <f t="shared" ca="1" si="44"/>
        <v>0</v>
      </c>
      <c r="AF123" s="159" t="str">
        <f t="shared" ca="1" si="45"/>
        <v>(abra o arquivo 'Referência 05-2023.xls)</v>
      </c>
      <c r="AG123" s="549">
        <f t="shared" ca="1" si="46"/>
        <v>0</v>
      </c>
      <c r="AH123" s="550">
        <f t="shared" ca="1" si="47"/>
        <v>0.25</v>
      </c>
      <c r="AJ123" s="552"/>
      <c r="AL123" s="573"/>
      <c r="AM123" s="430">
        <f t="shared" ca="1" si="48"/>
        <v>0</v>
      </c>
      <c r="AN123" s="616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4</v>
      </c>
      <c r="G124">
        <f t="shared" ca="1" si="30"/>
        <v>0</v>
      </c>
      <c r="H124">
        <f t="shared" ca="1" si="31"/>
        <v>0</v>
      </c>
      <c r="I124">
        <f t="shared" ca="1" si="32"/>
        <v>1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3" t="str">
        <f t="shared" ca="1" si="34"/>
        <v/>
      </c>
      <c r="M124" s="144" t="s">
        <v>198</v>
      </c>
      <c r="N124" s="145" t="str">
        <f t="shared" ca="1" si="35"/>
        <v>Serviço</v>
      </c>
      <c r="O124" s="146" t="str">
        <f t="shared" ca="1" si="36"/>
        <v>-</v>
      </c>
      <c r="P124" s="147" t="s">
        <v>246</v>
      </c>
      <c r="Q124" s="148"/>
      <c r="R124" s="149" t="str">
        <f t="shared" ca="1" si="37"/>
        <v>(abra o arquivo 'Referência 05-2023.xls)</v>
      </c>
      <c r="S124" s="150" t="str">
        <f t="shared" ca="1" si="38"/>
        <v>-</v>
      </c>
      <c r="T124" s="151">
        <f ca="1">OFFSET(CÁLCULO!H$15,ROW($T124)-ROW(T$15),0)</f>
        <v>0</v>
      </c>
      <c r="U124" s="152"/>
      <c r="V124" s="153" t="s">
        <v>155</v>
      </c>
      <c r="W124" s="151">
        <f t="shared" ca="1" si="39"/>
        <v>0</v>
      </c>
      <c r="X124" s="154">
        <f t="shared" ca="1" si="40"/>
        <v>0</v>
      </c>
      <c r="Y124" s="155" t="s">
        <v>244</v>
      </c>
      <c r="Z124" t="str">
        <f t="shared" ca="1" si="41"/>
        <v/>
      </c>
      <c r="AA124" s="156">
        <f ca="1">IF($C124="S",IF($Z124="CP",$X124,IF($Z124="RA",(($X124)*QCI!$AA$3),0)),SomaAgrup)</f>
        <v>0</v>
      </c>
      <c r="AB124" s="157">
        <f t="shared" ca="1" si="42"/>
        <v>0</v>
      </c>
      <c r="AC124" s="158" t="str">
        <f t="shared" ca="1" si="43"/>
        <v/>
      </c>
      <c r="AD124" s="104" t="str">
        <f ca="1">IF(C124&lt;=CRONO.NivelExibicao,MAX($AD$15:OFFSET(AD124,-1,0))+IF($C124&lt;&gt;1,1,MAX(1,COUNTIF(QCI!$A$13:$A$24,OFFSET($E124,-1,0)))),"")</f>
        <v/>
      </c>
      <c r="AE124" s="114" t="b">
        <f t="shared" ca="1" si="44"/>
        <v>0</v>
      </c>
      <c r="AF124" s="159" t="str">
        <f t="shared" ca="1" si="45"/>
        <v>(abra o arquivo 'Referência 05-2023.xls)</v>
      </c>
      <c r="AG124" s="549">
        <f t="shared" ca="1" si="46"/>
        <v>0</v>
      </c>
      <c r="AH124" s="550">
        <f t="shared" ca="1" si="47"/>
        <v>0.25</v>
      </c>
      <c r="AJ124" s="552"/>
      <c r="AL124" s="573"/>
      <c r="AM124" s="430">
        <f t="shared" ca="1" si="48"/>
        <v>0</v>
      </c>
      <c r="AN124" s="616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4</v>
      </c>
      <c r="G125">
        <f t="shared" ca="1" si="30"/>
        <v>0</v>
      </c>
      <c r="H125">
        <f t="shared" ca="1" si="31"/>
        <v>0</v>
      </c>
      <c r="I125">
        <f t="shared" ca="1" si="32"/>
        <v>1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3" t="str">
        <f t="shared" ca="1" si="34"/>
        <v/>
      </c>
      <c r="M125" s="144" t="s">
        <v>198</v>
      </c>
      <c r="N125" s="145" t="str">
        <f t="shared" ca="1" si="35"/>
        <v>Serviço</v>
      </c>
      <c r="O125" s="146" t="str">
        <f t="shared" ca="1" si="36"/>
        <v>-</v>
      </c>
      <c r="P125" s="147" t="s">
        <v>246</v>
      </c>
      <c r="Q125" s="148"/>
      <c r="R125" s="149" t="str">
        <f t="shared" ca="1" si="37"/>
        <v>(abra o arquivo 'Referência 05-2023.xls)</v>
      </c>
      <c r="S125" s="150" t="str">
        <f t="shared" ca="1" si="38"/>
        <v>-</v>
      </c>
      <c r="T125" s="151">
        <f ca="1">OFFSET(CÁLCULO!H$15,ROW($T125)-ROW(T$15),0)</f>
        <v>0</v>
      </c>
      <c r="U125" s="152"/>
      <c r="V125" s="153" t="s">
        <v>155</v>
      </c>
      <c r="W125" s="151">
        <f t="shared" ca="1" si="39"/>
        <v>0</v>
      </c>
      <c r="X125" s="154">
        <f t="shared" ca="1" si="40"/>
        <v>0</v>
      </c>
      <c r="Y125" s="155" t="s">
        <v>244</v>
      </c>
      <c r="Z125" t="str">
        <f t="shared" ca="1" si="41"/>
        <v/>
      </c>
      <c r="AA125" s="156">
        <f ca="1">IF($C125="S",IF($Z125="CP",$X125,IF($Z125="RA",(($X125)*QCI!$AA$3),0)),SomaAgrup)</f>
        <v>0</v>
      </c>
      <c r="AB125" s="157">
        <f t="shared" ca="1" si="42"/>
        <v>0</v>
      </c>
      <c r="AC125" s="158" t="str">
        <f t="shared" ca="1" si="43"/>
        <v/>
      </c>
      <c r="AD125" s="104" t="str">
        <f ca="1">IF(C125&lt;=CRONO.NivelExibicao,MAX($AD$15:OFFSET(AD125,-1,0))+IF($C125&lt;&gt;1,1,MAX(1,COUNTIF(QCI!$A$13:$A$24,OFFSET($E125,-1,0)))),"")</f>
        <v/>
      </c>
      <c r="AE125" s="114" t="b">
        <f t="shared" ca="1" si="44"/>
        <v>0</v>
      </c>
      <c r="AF125" s="159" t="str">
        <f t="shared" ca="1" si="45"/>
        <v>(abra o arquivo 'Referência 05-2023.xls)</v>
      </c>
      <c r="AG125" s="549">
        <f t="shared" ca="1" si="46"/>
        <v>0</v>
      </c>
      <c r="AH125" s="550">
        <f t="shared" ca="1" si="47"/>
        <v>0.25</v>
      </c>
      <c r="AJ125" s="552"/>
      <c r="AL125" s="573"/>
      <c r="AM125" s="430">
        <f t="shared" ca="1" si="48"/>
        <v>0</v>
      </c>
      <c r="AN125" s="616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4</v>
      </c>
      <c r="G126">
        <f t="shared" ca="1" si="30"/>
        <v>0</v>
      </c>
      <c r="H126">
        <f t="shared" ca="1" si="31"/>
        <v>0</v>
      </c>
      <c r="I126">
        <f t="shared" ca="1" si="32"/>
        <v>1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3" t="str">
        <f t="shared" ca="1" si="34"/>
        <v/>
      </c>
      <c r="M126" s="144" t="s">
        <v>198</v>
      </c>
      <c r="N126" s="145" t="str">
        <f t="shared" ca="1" si="35"/>
        <v>Serviço</v>
      </c>
      <c r="O126" s="146" t="str">
        <f t="shared" ca="1" si="36"/>
        <v>-</v>
      </c>
      <c r="P126" s="147" t="s">
        <v>246</v>
      </c>
      <c r="Q126" s="148"/>
      <c r="R126" s="149" t="str">
        <f t="shared" ca="1" si="37"/>
        <v>(abra o arquivo 'Referência 05-2023.xls)</v>
      </c>
      <c r="S126" s="150" t="str">
        <f t="shared" ca="1" si="38"/>
        <v>-</v>
      </c>
      <c r="T126" s="151">
        <f ca="1">OFFSET(CÁLCULO!H$15,ROW($T126)-ROW(T$15),0)</f>
        <v>0</v>
      </c>
      <c r="U126" s="152"/>
      <c r="V126" s="153" t="s">
        <v>155</v>
      </c>
      <c r="W126" s="151">
        <f t="shared" ca="1" si="39"/>
        <v>0</v>
      </c>
      <c r="X126" s="154">
        <f t="shared" ca="1" si="40"/>
        <v>0</v>
      </c>
      <c r="Y126" s="155" t="s">
        <v>244</v>
      </c>
      <c r="Z126" t="str">
        <f t="shared" ca="1" si="41"/>
        <v/>
      </c>
      <c r="AA126" s="156">
        <f ca="1">IF($C126="S",IF($Z126="CP",$X126,IF($Z126="RA",(($X126)*QCI!$AA$3),0)),SomaAgrup)</f>
        <v>0</v>
      </c>
      <c r="AB126" s="157">
        <f t="shared" ca="1" si="42"/>
        <v>0</v>
      </c>
      <c r="AC126" s="158" t="str">
        <f t="shared" ca="1" si="43"/>
        <v/>
      </c>
      <c r="AD126" s="104" t="str">
        <f ca="1">IF(C126&lt;=CRONO.NivelExibicao,MAX($AD$15:OFFSET(AD126,-1,0))+IF($C126&lt;&gt;1,1,MAX(1,COUNTIF(QCI!$A$13:$A$24,OFFSET($E126,-1,0)))),"")</f>
        <v/>
      </c>
      <c r="AE126" s="114" t="b">
        <f t="shared" ca="1" si="44"/>
        <v>0</v>
      </c>
      <c r="AF126" s="159" t="str">
        <f t="shared" ca="1" si="45"/>
        <v>(abra o arquivo 'Referência 05-2023.xls)</v>
      </c>
      <c r="AG126" s="549">
        <f t="shared" ca="1" si="46"/>
        <v>0</v>
      </c>
      <c r="AH126" s="550">
        <f t="shared" ca="1" si="47"/>
        <v>0.25</v>
      </c>
      <c r="AJ126" s="552"/>
      <c r="AL126" s="573"/>
      <c r="AM126" s="430">
        <f t="shared" ca="1" si="48"/>
        <v>0</v>
      </c>
      <c r="AN126" s="616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4</v>
      </c>
      <c r="G127">
        <f t="shared" ca="1" si="30"/>
        <v>0</v>
      </c>
      <c r="H127">
        <f t="shared" ca="1" si="31"/>
        <v>0</v>
      </c>
      <c r="I127">
        <f t="shared" ca="1" si="32"/>
        <v>1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3" t="str">
        <f t="shared" ca="1" si="34"/>
        <v/>
      </c>
      <c r="M127" s="144" t="s">
        <v>198</v>
      </c>
      <c r="N127" s="145" t="str">
        <f t="shared" ca="1" si="35"/>
        <v>Serviço</v>
      </c>
      <c r="O127" s="146" t="str">
        <f t="shared" ca="1" si="36"/>
        <v>-</v>
      </c>
      <c r="P127" s="147" t="s">
        <v>246</v>
      </c>
      <c r="Q127" s="148"/>
      <c r="R127" s="149" t="str">
        <f t="shared" ca="1" si="37"/>
        <v>(abra o arquivo 'Referência 05-2023.xls)</v>
      </c>
      <c r="S127" s="150" t="str">
        <f t="shared" ca="1" si="38"/>
        <v>-</v>
      </c>
      <c r="T127" s="151">
        <f ca="1">OFFSET(CÁLCULO!H$15,ROW($T127)-ROW(T$15),0)</f>
        <v>0</v>
      </c>
      <c r="U127" s="152"/>
      <c r="V127" s="153" t="s">
        <v>155</v>
      </c>
      <c r="W127" s="151">
        <f t="shared" ca="1" si="39"/>
        <v>0</v>
      </c>
      <c r="X127" s="154">
        <f t="shared" ca="1" si="40"/>
        <v>0</v>
      </c>
      <c r="Y127" s="155" t="s">
        <v>244</v>
      </c>
      <c r="Z127" t="str">
        <f t="shared" ca="1" si="41"/>
        <v/>
      </c>
      <c r="AA127" s="156">
        <f ca="1">IF($C127="S",IF($Z127="CP",$X127,IF($Z127="RA",(($X127)*QCI!$AA$3),0)),SomaAgrup)</f>
        <v>0</v>
      </c>
      <c r="AB127" s="157">
        <f t="shared" ca="1" si="42"/>
        <v>0</v>
      </c>
      <c r="AC127" s="158" t="str">
        <f t="shared" ca="1" si="43"/>
        <v/>
      </c>
      <c r="AD127" s="104" t="str">
        <f ca="1">IF(C127&lt;=CRONO.NivelExibicao,MAX($AD$15:OFFSET(AD127,-1,0))+IF($C127&lt;&gt;1,1,MAX(1,COUNTIF(QCI!$A$13:$A$24,OFFSET($E127,-1,0)))),"")</f>
        <v/>
      </c>
      <c r="AE127" s="114" t="b">
        <f t="shared" ca="1" si="44"/>
        <v>0</v>
      </c>
      <c r="AF127" s="159" t="str">
        <f t="shared" ca="1" si="45"/>
        <v>(abra o arquivo 'Referência 05-2023.xls)</v>
      </c>
      <c r="AG127" s="549">
        <f t="shared" ca="1" si="46"/>
        <v>0</v>
      </c>
      <c r="AH127" s="550">
        <f t="shared" ca="1" si="47"/>
        <v>0.25</v>
      </c>
      <c r="AJ127" s="552"/>
      <c r="AL127" s="573"/>
      <c r="AM127" s="430">
        <f t="shared" ca="1" si="48"/>
        <v>0</v>
      </c>
      <c r="AN127" s="616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4</v>
      </c>
      <c r="G128">
        <f t="shared" ca="1" si="30"/>
        <v>0</v>
      </c>
      <c r="H128">
        <f t="shared" ca="1" si="31"/>
        <v>0</v>
      </c>
      <c r="I128">
        <f t="shared" ca="1" si="32"/>
        <v>1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3" t="str">
        <f t="shared" ca="1" si="34"/>
        <v/>
      </c>
      <c r="M128" s="144" t="s">
        <v>198</v>
      </c>
      <c r="N128" s="145" t="str">
        <f t="shared" ca="1" si="35"/>
        <v>Serviço</v>
      </c>
      <c r="O128" s="146" t="str">
        <f t="shared" ca="1" si="36"/>
        <v>-</v>
      </c>
      <c r="P128" s="147" t="s">
        <v>246</v>
      </c>
      <c r="Q128" s="148"/>
      <c r="R128" s="149" t="str">
        <f t="shared" ca="1" si="37"/>
        <v>(abra o arquivo 'Referência 05-2023.xls)</v>
      </c>
      <c r="S128" s="150" t="str">
        <f t="shared" ca="1" si="38"/>
        <v>-</v>
      </c>
      <c r="T128" s="151">
        <f ca="1">OFFSET(CÁLCULO!H$15,ROW($T128)-ROW(T$15),0)</f>
        <v>0</v>
      </c>
      <c r="U128" s="152"/>
      <c r="V128" s="153" t="s">
        <v>155</v>
      </c>
      <c r="W128" s="151">
        <f t="shared" ca="1" si="39"/>
        <v>0</v>
      </c>
      <c r="X128" s="154">
        <f t="shared" ca="1" si="40"/>
        <v>0</v>
      </c>
      <c r="Y128" s="155" t="s">
        <v>244</v>
      </c>
      <c r="Z128" t="str">
        <f t="shared" ca="1" si="41"/>
        <v/>
      </c>
      <c r="AA128" s="156">
        <f ca="1">IF($C128="S",IF($Z128="CP",$X128,IF($Z128="RA",(($X128)*QCI!$AA$3),0)),SomaAgrup)</f>
        <v>0</v>
      </c>
      <c r="AB128" s="157">
        <f t="shared" ca="1" si="42"/>
        <v>0</v>
      </c>
      <c r="AC128" s="158" t="str">
        <f t="shared" ca="1" si="43"/>
        <v/>
      </c>
      <c r="AD128" s="104" t="str">
        <f ca="1">IF(C128&lt;=CRONO.NivelExibicao,MAX($AD$15:OFFSET(AD128,-1,0))+IF($C128&lt;&gt;1,1,MAX(1,COUNTIF(QCI!$A$13:$A$24,OFFSET($E128,-1,0)))),"")</f>
        <v/>
      </c>
      <c r="AE128" s="114" t="b">
        <f t="shared" ca="1" si="44"/>
        <v>0</v>
      </c>
      <c r="AF128" s="159" t="str">
        <f t="shared" ca="1" si="45"/>
        <v>(abra o arquivo 'Referência 05-2023.xls)</v>
      </c>
      <c r="AG128" s="549">
        <f t="shared" ca="1" si="46"/>
        <v>0</v>
      </c>
      <c r="AH128" s="550">
        <f t="shared" ca="1" si="47"/>
        <v>0.25</v>
      </c>
      <c r="AJ128" s="552"/>
      <c r="AL128" s="573"/>
      <c r="AM128" s="430">
        <f t="shared" ca="1" si="48"/>
        <v>0</v>
      </c>
      <c r="AN128" s="616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4</v>
      </c>
      <c r="G129">
        <f t="shared" ca="1" si="30"/>
        <v>0</v>
      </c>
      <c r="H129">
        <f t="shared" ca="1" si="31"/>
        <v>0</v>
      </c>
      <c r="I129">
        <f t="shared" ca="1" si="32"/>
        <v>1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3" t="str">
        <f t="shared" ca="1" si="34"/>
        <v/>
      </c>
      <c r="M129" s="144" t="s">
        <v>198</v>
      </c>
      <c r="N129" s="145" t="str">
        <f t="shared" ca="1" si="35"/>
        <v>Serviço</v>
      </c>
      <c r="O129" s="146" t="str">
        <f t="shared" ca="1" si="36"/>
        <v>-</v>
      </c>
      <c r="P129" s="147" t="s">
        <v>246</v>
      </c>
      <c r="Q129" s="148"/>
      <c r="R129" s="149" t="str">
        <f t="shared" ca="1" si="37"/>
        <v>(abra o arquivo 'Referência 05-2023.xls)</v>
      </c>
      <c r="S129" s="150" t="str">
        <f t="shared" ca="1" si="38"/>
        <v>-</v>
      </c>
      <c r="T129" s="151">
        <f ca="1">OFFSET(CÁLCULO!H$15,ROW($T129)-ROW(T$15),0)</f>
        <v>0</v>
      </c>
      <c r="U129" s="152"/>
      <c r="V129" s="153" t="s">
        <v>155</v>
      </c>
      <c r="W129" s="151">
        <f t="shared" ca="1" si="39"/>
        <v>0</v>
      </c>
      <c r="X129" s="154">
        <f t="shared" ca="1" si="40"/>
        <v>0</v>
      </c>
      <c r="Y129" s="155" t="s">
        <v>244</v>
      </c>
      <c r="Z129" t="str">
        <f t="shared" ca="1" si="41"/>
        <v/>
      </c>
      <c r="AA129" s="156">
        <f ca="1">IF($C129="S",IF($Z129="CP",$X129,IF($Z129="RA",(($X129)*QCI!$AA$3),0)),SomaAgrup)</f>
        <v>0</v>
      </c>
      <c r="AB129" s="157">
        <f t="shared" ca="1" si="42"/>
        <v>0</v>
      </c>
      <c r="AC129" s="158" t="str">
        <f t="shared" ca="1" si="43"/>
        <v/>
      </c>
      <c r="AD129" s="104" t="str">
        <f ca="1">IF(C129&lt;=CRONO.NivelExibicao,MAX($AD$15:OFFSET(AD129,-1,0))+IF($C129&lt;&gt;1,1,MAX(1,COUNTIF(QCI!$A$13:$A$24,OFFSET($E129,-1,0)))),"")</f>
        <v/>
      </c>
      <c r="AE129" s="114" t="b">
        <f t="shared" ca="1" si="44"/>
        <v>0</v>
      </c>
      <c r="AF129" s="159" t="str">
        <f t="shared" ca="1" si="45"/>
        <v>(abra o arquivo 'Referência 05-2023.xls)</v>
      </c>
      <c r="AG129" s="549">
        <f t="shared" ca="1" si="46"/>
        <v>0</v>
      </c>
      <c r="AH129" s="550">
        <f t="shared" ca="1" si="47"/>
        <v>0.25</v>
      </c>
      <c r="AJ129" s="552"/>
      <c r="AL129" s="573"/>
      <c r="AM129" s="430">
        <f t="shared" ca="1" si="48"/>
        <v>0</v>
      </c>
      <c r="AN129" s="616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4</v>
      </c>
      <c r="G130">
        <f t="shared" ca="1" si="30"/>
        <v>0</v>
      </c>
      <c r="H130">
        <f t="shared" ca="1" si="31"/>
        <v>0</v>
      </c>
      <c r="I130">
        <f t="shared" ca="1" si="32"/>
        <v>1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3" t="str">
        <f t="shared" ca="1" si="34"/>
        <v/>
      </c>
      <c r="M130" s="144" t="s">
        <v>198</v>
      </c>
      <c r="N130" s="145" t="str">
        <f t="shared" ca="1" si="35"/>
        <v>Serviço</v>
      </c>
      <c r="O130" s="146" t="str">
        <f t="shared" ca="1" si="36"/>
        <v>-</v>
      </c>
      <c r="P130" s="147" t="s">
        <v>246</v>
      </c>
      <c r="Q130" s="148"/>
      <c r="R130" s="149" t="str">
        <f t="shared" ca="1" si="37"/>
        <v>(abra o arquivo 'Referência 05-2023.xls)</v>
      </c>
      <c r="S130" s="150" t="str">
        <f t="shared" ca="1" si="38"/>
        <v>-</v>
      </c>
      <c r="T130" s="151">
        <f ca="1">OFFSET(CÁLCULO!H$15,ROW($T130)-ROW(T$15),0)</f>
        <v>0</v>
      </c>
      <c r="U130" s="152"/>
      <c r="V130" s="153" t="s">
        <v>155</v>
      </c>
      <c r="W130" s="151">
        <f t="shared" ca="1" si="39"/>
        <v>0</v>
      </c>
      <c r="X130" s="154">
        <f t="shared" ca="1" si="40"/>
        <v>0</v>
      </c>
      <c r="Y130" s="155" t="s">
        <v>244</v>
      </c>
      <c r="Z130" t="str">
        <f t="shared" ca="1" si="41"/>
        <v/>
      </c>
      <c r="AA130" s="156">
        <f ca="1">IF($C130="S",IF($Z130="CP",$X130,IF($Z130="RA",(($X130)*QCI!$AA$3),0)),SomaAgrup)</f>
        <v>0</v>
      </c>
      <c r="AB130" s="157">
        <f t="shared" ca="1" si="42"/>
        <v>0</v>
      </c>
      <c r="AC130" s="158" t="str">
        <f t="shared" ca="1" si="43"/>
        <v/>
      </c>
      <c r="AD130" s="104" t="str">
        <f ca="1">IF(C130&lt;=CRONO.NivelExibicao,MAX($AD$15:OFFSET(AD130,-1,0))+IF($C130&lt;&gt;1,1,MAX(1,COUNTIF(QCI!$A$13:$A$24,OFFSET($E130,-1,0)))),"")</f>
        <v/>
      </c>
      <c r="AE130" s="114" t="b">
        <f t="shared" ca="1" si="44"/>
        <v>0</v>
      </c>
      <c r="AF130" s="159" t="str">
        <f t="shared" ca="1" si="45"/>
        <v>(abra o arquivo 'Referência 05-2023.xls)</v>
      </c>
      <c r="AG130" s="549">
        <f t="shared" ca="1" si="46"/>
        <v>0</v>
      </c>
      <c r="AH130" s="550">
        <f t="shared" ca="1" si="47"/>
        <v>0.25</v>
      </c>
      <c r="AJ130" s="552"/>
      <c r="AL130" s="573"/>
      <c r="AM130" s="430">
        <f t="shared" ca="1" si="48"/>
        <v>0</v>
      </c>
      <c r="AN130" s="616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4</v>
      </c>
      <c r="G131">
        <f t="shared" ca="1" si="30"/>
        <v>0</v>
      </c>
      <c r="H131">
        <f t="shared" ca="1" si="31"/>
        <v>0</v>
      </c>
      <c r="I131">
        <f t="shared" ca="1" si="32"/>
        <v>1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3" t="str">
        <f t="shared" ca="1" si="34"/>
        <v/>
      </c>
      <c r="M131" s="144" t="s">
        <v>198</v>
      </c>
      <c r="N131" s="145" t="str">
        <f t="shared" ca="1" si="35"/>
        <v>Serviço</v>
      </c>
      <c r="O131" s="146" t="str">
        <f t="shared" ca="1" si="36"/>
        <v>-</v>
      </c>
      <c r="P131" s="147" t="s">
        <v>246</v>
      </c>
      <c r="Q131" s="148"/>
      <c r="R131" s="149" t="str">
        <f t="shared" ca="1" si="37"/>
        <v>(abra o arquivo 'Referência 05-2023.xls)</v>
      </c>
      <c r="S131" s="150" t="str">
        <f t="shared" ca="1" si="38"/>
        <v>-</v>
      </c>
      <c r="T131" s="151">
        <f ca="1">OFFSET(CÁLCULO!H$15,ROW($T131)-ROW(T$15),0)</f>
        <v>0</v>
      </c>
      <c r="U131" s="152"/>
      <c r="V131" s="153" t="s">
        <v>155</v>
      </c>
      <c r="W131" s="151">
        <f t="shared" ca="1" si="39"/>
        <v>0</v>
      </c>
      <c r="X131" s="154">
        <f t="shared" ca="1" si="40"/>
        <v>0</v>
      </c>
      <c r="Y131" s="155" t="s">
        <v>244</v>
      </c>
      <c r="Z131" t="str">
        <f t="shared" ca="1" si="41"/>
        <v/>
      </c>
      <c r="AA131" s="156">
        <f ca="1">IF($C131="S",IF($Z131="CP",$X131,IF($Z131="RA",(($X131)*QCI!$AA$3),0)),SomaAgrup)</f>
        <v>0</v>
      </c>
      <c r="AB131" s="157">
        <f t="shared" ca="1" si="42"/>
        <v>0</v>
      </c>
      <c r="AC131" s="158" t="str">
        <f t="shared" ca="1" si="43"/>
        <v/>
      </c>
      <c r="AD131" s="104" t="str">
        <f ca="1">IF(C131&lt;=CRONO.NivelExibicao,MAX($AD$15:OFFSET(AD131,-1,0))+IF($C131&lt;&gt;1,1,MAX(1,COUNTIF(QCI!$A$13:$A$24,OFFSET($E131,-1,0)))),"")</f>
        <v/>
      </c>
      <c r="AE131" s="114" t="b">
        <f t="shared" ca="1" si="44"/>
        <v>0</v>
      </c>
      <c r="AF131" s="159" t="str">
        <f t="shared" ca="1" si="45"/>
        <v>(abra o arquivo 'Referência 05-2023.xls)</v>
      </c>
      <c r="AG131" s="549">
        <f t="shared" ca="1" si="46"/>
        <v>0</v>
      </c>
      <c r="AH131" s="550">
        <f t="shared" ca="1" si="47"/>
        <v>0.25</v>
      </c>
      <c r="AJ131" s="552"/>
      <c r="AL131" s="573"/>
      <c r="AM131" s="430">
        <f t="shared" ca="1" si="48"/>
        <v>0</v>
      </c>
      <c r="AN131" s="616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4</v>
      </c>
      <c r="G132">
        <f t="shared" ca="1" si="30"/>
        <v>0</v>
      </c>
      <c r="H132">
        <f t="shared" ca="1" si="31"/>
        <v>0</v>
      </c>
      <c r="I132">
        <f t="shared" ca="1" si="32"/>
        <v>1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3" t="str">
        <f t="shared" ca="1" si="34"/>
        <v/>
      </c>
      <c r="M132" s="144" t="s">
        <v>198</v>
      </c>
      <c r="N132" s="145" t="str">
        <f t="shared" ca="1" si="35"/>
        <v>Serviço</v>
      </c>
      <c r="O132" s="146" t="str">
        <f t="shared" ca="1" si="36"/>
        <v>-</v>
      </c>
      <c r="P132" s="147" t="s">
        <v>246</v>
      </c>
      <c r="Q132" s="148"/>
      <c r="R132" s="149" t="str">
        <f t="shared" ca="1" si="37"/>
        <v>(abra o arquivo 'Referência 05-2023.xls)</v>
      </c>
      <c r="S132" s="150" t="str">
        <f t="shared" ca="1" si="38"/>
        <v>-</v>
      </c>
      <c r="T132" s="151">
        <f ca="1">OFFSET(CÁLCULO!H$15,ROW($T132)-ROW(T$15),0)</f>
        <v>0</v>
      </c>
      <c r="U132" s="152"/>
      <c r="V132" s="153" t="s">
        <v>155</v>
      </c>
      <c r="W132" s="151">
        <f t="shared" ca="1" si="39"/>
        <v>0</v>
      </c>
      <c r="X132" s="154">
        <f t="shared" ca="1" si="40"/>
        <v>0</v>
      </c>
      <c r="Y132" s="155" t="s">
        <v>244</v>
      </c>
      <c r="Z132" t="str">
        <f t="shared" ca="1" si="41"/>
        <v/>
      </c>
      <c r="AA132" s="156">
        <f ca="1">IF($C132="S",IF($Z132="CP",$X132,IF($Z132="RA",(($X132)*QCI!$AA$3),0)),SomaAgrup)</f>
        <v>0</v>
      </c>
      <c r="AB132" s="157">
        <f t="shared" ca="1" si="42"/>
        <v>0</v>
      </c>
      <c r="AC132" s="158" t="str">
        <f t="shared" ca="1" si="43"/>
        <v/>
      </c>
      <c r="AD132" s="104" t="str">
        <f ca="1">IF(C132&lt;=CRONO.NivelExibicao,MAX($AD$15:OFFSET(AD132,-1,0))+IF($C132&lt;&gt;1,1,MAX(1,COUNTIF(QCI!$A$13:$A$24,OFFSET($E132,-1,0)))),"")</f>
        <v/>
      </c>
      <c r="AE132" s="114" t="b">
        <f t="shared" ca="1" si="44"/>
        <v>0</v>
      </c>
      <c r="AF132" s="159" t="str">
        <f t="shared" ca="1" si="45"/>
        <v>(abra o arquivo 'Referência 05-2023.xls)</v>
      </c>
      <c r="AG132" s="549">
        <f t="shared" ca="1" si="46"/>
        <v>0</v>
      </c>
      <c r="AH132" s="550">
        <f t="shared" ca="1" si="47"/>
        <v>0.25</v>
      </c>
      <c r="AJ132" s="552"/>
      <c r="AL132" s="573"/>
      <c r="AM132" s="430">
        <f t="shared" ca="1" si="48"/>
        <v>0</v>
      </c>
      <c r="AN132" s="616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4</v>
      </c>
      <c r="G133">
        <f t="shared" ca="1" si="30"/>
        <v>0</v>
      </c>
      <c r="H133">
        <f t="shared" ca="1" si="31"/>
        <v>0</v>
      </c>
      <c r="I133">
        <f t="shared" ca="1" si="32"/>
        <v>1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3" t="str">
        <f t="shared" ca="1" si="34"/>
        <v/>
      </c>
      <c r="M133" s="144" t="s">
        <v>198</v>
      </c>
      <c r="N133" s="145" t="str">
        <f t="shared" ca="1" si="35"/>
        <v>Serviço</v>
      </c>
      <c r="O133" s="146" t="str">
        <f t="shared" ca="1" si="36"/>
        <v>-</v>
      </c>
      <c r="P133" s="147" t="s">
        <v>246</v>
      </c>
      <c r="Q133" s="148"/>
      <c r="R133" s="149" t="str">
        <f t="shared" ca="1" si="37"/>
        <v>(abra o arquivo 'Referência 05-2023.xls)</v>
      </c>
      <c r="S133" s="150" t="str">
        <f t="shared" ca="1" si="38"/>
        <v>-</v>
      </c>
      <c r="T133" s="151">
        <f ca="1">OFFSET(CÁLCULO!H$15,ROW($T133)-ROW(T$15),0)</f>
        <v>0</v>
      </c>
      <c r="U133" s="152"/>
      <c r="V133" s="153" t="s">
        <v>155</v>
      </c>
      <c r="W133" s="151">
        <f t="shared" ca="1" si="39"/>
        <v>0</v>
      </c>
      <c r="X133" s="154">
        <f t="shared" ca="1" si="40"/>
        <v>0</v>
      </c>
      <c r="Y133" s="155" t="s">
        <v>244</v>
      </c>
      <c r="Z133" t="str">
        <f t="shared" ca="1" si="41"/>
        <v/>
      </c>
      <c r="AA133" s="156">
        <f ca="1">IF($C133="S",IF($Z133="CP",$X133,IF($Z133="RA",(($X133)*QCI!$AA$3),0)),SomaAgrup)</f>
        <v>0</v>
      </c>
      <c r="AB133" s="157">
        <f t="shared" ca="1" si="42"/>
        <v>0</v>
      </c>
      <c r="AC133" s="158" t="str">
        <f t="shared" ca="1" si="43"/>
        <v/>
      </c>
      <c r="AD133" s="104" t="str">
        <f ca="1">IF(C133&lt;=CRONO.NivelExibicao,MAX($AD$15:OFFSET(AD133,-1,0))+IF($C133&lt;&gt;1,1,MAX(1,COUNTIF(QCI!$A$13:$A$24,OFFSET($E133,-1,0)))),"")</f>
        <v/>
      </c>
      <c r="AE133" s="114" t="b">
        <f t="shared" ca="1" si="44"/>
        <v>0</v>
      </c>
      <c r="AF133" s="159" t="str">
        <f t="shared" ca="1" si="45"/>
        <v>(abra o arquivo 'Referência 05-2023.xls)</v>
      </c>
      <c r="AG133" s="549">
        <f t="shared" ca="1" si="46"/>
        <v>0</v>
      </c>
      <c r="AH133" s="550">
        <f t="shared" ca="1" si="47"/>
        <v>0.25</v>
      </c>
      <c r="AJ133" s="552"/>
      <c r="AL133" s="573"/>
      <c r="AM133" s="430">
        <f t="shared" ca="1" si="48"/>
        <v>0</v>
      </c>
      <c r="AN133" s="616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4</v>
      </c>
      <c r="G134">
        <f t="shared" ca="1" si="30"/>
        <v>0</v>
      </c>
      <c r="H134">
        <f t="shared" ca="1" si="31"/>
        <v>0</v>
      </c>
      <c r="I134">
        <f t="shared" ca="1" si="32"/>
        <v>1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3" t="str">
        <f t="shared" ca="1" si="34"/>
        <v/>
      </c>
      <c r="M134" s="144" t="s">
        <v>198</v>
      </c>
      <c r="N134" s="145" t="str">
        <f t="shared" ca="1" si="35"/>
        <v>Serviço</v>
      </c>
      <c r="O134" s="146" t="str">
        <f t="shared" ca="1" si="36"/>
        <v>-</v>
      </c>
      <c r="P134" s="147" t="s">
        <v>246</v>
      </c>
      <c r="Q134" s="148"/>
      <c r="R134" s="149" t="str">
        <f t="shared" ca="1" si="37"/>
        <v>(abra o arquivo 'Referência 05-2023.xls)</v>
      </c>
      <c r="S134" s="150" t="str">
        <f t="shared" ca="1" si="38"/>
        <v>-</v>
      </c>
      <c r="T134" s="151">
        <f ca="1">OFFSET(CÁLCULO!H$15,ROW($T134)-ROW(T$15),0)</f>
        <v>0</v>
      </c>
      <c r="U134" s="152"/>
      <c r="V134" s="153" t="s">
        <v>155</v>
      </c>
      <c r="W134" s="151">
        <f t="shared" ca="1" si="39"/>
        <v>0</v>
      </c>
      <c r="X134" s="154">
        <f t="shared" ca="1" si="40"/>
        <v>0</v>
      </c>
      <c r="Y134" s="155" t="s">
        <v>244</v>
      </c>
      <c r="Z134" t="str">
        <f t="shared" ca="1" si="41"/>
        <v/>
      </c>
      <c r="AA134" s="156">
        <f ca="1">IF($C134="S",IF($Z134="CP",$X134,IF($Z134="RA",(($X134)*QCI!$AA$3),0)),SomaAgrup)</f>
        <v>0</v>
      </c>
      <c r="AB134" s="157">
        <f t="shared" ca="1" si="42"/>
        <v>0</v>
      </c>
      <c r="AC134" s="158" t="str">
        <f t="shared" ca="1" si="43"/>
        <v/>
      </c>
      <c r="AD134" s="104" t="str">
        <f ca="1">IF(C134&lt;=CRONO.NivelExibicao,MAX($AD$15:OFFSET(AD134,-1,0))+IF($C134&lt;&gt;1,1,MAX(1,COUNTIF(QCI!$A$13:$A$24,OFFSET($E134,-1,0)))),"")</f>
        <v/>
      </c>
      <c r="AE134" s="114" t="b">
        <f t="shared" ca="1" si="44"/>
        <v>0</v>
      </c>
      <c r="AF134" s="159" t="str">
        <f t="shared" ca="1" si="45"/>
        <v>(abra o arquivo 'Referência 05-2023.xls)</v>
      </c>
      <c r="AG134" s="549">
        <f t="shared" ca="1" si="46"/>
        <v>0</v>
      </c>
      <c r="AH134" s="550">
        <f t="shared" ca="1" si="47"/>
        <v>0.25</v>
      </c>
      <c r="AJ134" s="552"/>
      <c r="AL134" s="573"/>
      <c r="AM134" s="430">
        <f t="shared" ca="1" si="48"/>
        <v>0</v>
      </c>
      <c r="AN134" s="616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4</v>
      </c>
      <c r="G135">
        <f t="shared" ca="1" si="30"/>
        <v>0</v>
      </c>
      <c r="H135">
        <f t="shared" ca="1" si="31"/>
        <v>0</v>
      </c>
      <c r="I135">
        <f t="shared" ca="1" si="32"/>
        <v>1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3" t="str">
        <f t="shared" ca="1" si="34"/>
        <v/>
      </c>
      <c r="M135" s="144" t="s">
        <v>198</v>
      </c>
      <c r="N135" s="145" t="str">
        <f t="shared" ca="1" si="35"/>
        <v>Serviço</v>
      </c>
      <c r="O135" s="146" t="str">
        <f t="shared" ca="1" si="36"/>
        <v>-</v>
      </c>
      <c r="P135" s="147" t="s">
        <v>246</v>
      </c>
      <c r="Q135" s="148"/>
      <c r="R135" s="149" t="str">
        <f t="shared" ca="1" si="37"/>
        <v>(abra o arquivo 'Referência 05-2023.xls)</v>
      </c>
      <c r="S135" s="150" t="str">
        <f t="shared" ca="1" si="38"/>
        <v>-</v>
      </c>
      <c r="T135" s="151">
        <f ca="1">OFFSET(CÁLCULO!H$15,ROW($T135)-ROW(T$15),0)</f>
        <v>0</v>
      </c>
      <c r="U135" s="152"/>
      <c r="V135" s="153" t="s">
        <v>155</v>
      </c>
      <c r="W135" s="151">
        <f t="shared" ca="1" si="39"/>
        <v>0</v>
      </c>
      <c r="X135" s="154">
        <f t="shared" ca="1" si="40"/>
        <v>0</v>
      </c>
      <c r="Y135" s="155" t="s">
        <v>244</v>
      </c>
      <c r="Z135" t="str">
        <f t="shared" ca="1" si="41"/>
        <v/>
      </c>
      <c r="AA135" s="156">
        <f ca="1">IF($C135="S",IF($Z135="CP",$X135,IF($Z135="RA",(($X135)*QCI!$AA$3),0)),SomaAgrup)</f>
        <v>0</v>
      </c>
      <c r="AB135" s="157">
        <f t="shared" ca="1" si="42"/>
        <v>0</v>
      </c>
      <c r="AC135" s="158" t="str">
        <f t="shared" ca="1" si="43"/>
        <v/>
      </c>
      <c r="AD135" s="104" t="str">
        <f ca="1">IF(C135&lt;=CRONO.NivelExibicao,MAX($AD$15:OFFSET(AD135,-1,0))+IF($C135&lt;&gt;1,1,MAX(1,COUNTIF(QCI!$A$13:$A$24,OFFSET($E135,-1,0)))),"")</f>
        <v/>
      </c>
      <c r="AE135" s="114" t="b">
        <f t="shared" ca="1" si="44"/>
        <v>0</v>
      </c>
      <c r="AF135" s="159" t="str">
        <f t="shared" ca="1" si="45"/>
        <v>(abra o arquivo 'Referência 05-2023.xls)</v>
      </c>
      <c r="AG135" s="549">
        <f t="shared" ca="1" si="46"/>
        <v>0</v>
      </c>
      <c r="AH135" s="550">
        <f t="shared" ca="1" si="47"/>
        <v>0.25</v>
      </c>
      <c r="AJ135" s="552"/>
      <c r="AL135" s="573"/>
      <c r="AM135" s="430">
        <f t="shared" ca="1" si="48"/>
        <v>0</v>
      </c>
      <c r="AN135" s="616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4</v>
      </c>
      <c r="G136">
        <f t="shared" ca="1" si="30"/>
        <v>0</v>
      </c>
      <c r="H136">
        <f t="shared" ca="1" si="31"/>
        <v>0</v>
      </c>
      <c r="I136">
        <f t="shared" ca="1" si="32"/>
        <v>1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3" t="str">
        <f t="shared" ca="1" si="34"/>
        <v/>
      </c>
      <c r="M136" s="144" t="s">
        <v>198</v>
      </c>
      <c r="N136" s="145" t="str">
        <f t="shared" ca="1" si="35"/>
        <v>Serviço</v>
      </c>
      <c r="O136" s="146" t="str">
        <f t="shared" ca="1" si="36"/>
        <v>-</v>
      </c>
      <c r="P136" s="147" t="s">
        <v>246</v>
      </c>
      <c r="Q136" s="148"/>
      <c r="R136" s="149" t="str">
        <f t="shared" ca="1" si="37"/>
        <v>(abra o arquivo 'Referência 05-2023.xls)</v>
      </c>
      <c r="S136" s="150" t="str">
        <f t="shared" ca="1" si="38"/>
        <v>-</v>
      </c>
      <c r="T136" s="151">
        <f ca="1">OFFSET(CÁLCULO!H$15,ROW($T136)-ROW(T$15),0)</f>
        <v>0</v>
      </c>
      <c r="U136" s="152"/>
      <c r="V136" s="153" t="s">
        <v>155</v>
      </c>
      <c r="W136" s="151">
        <f t="shared" ca="1" si="39"/>
        <v>0</v>
      </c>
      <c r="X136" s="154">
        <f t="shared" ca="1" si="40"/>
        <v>0</v>
      </c>
      <c r="Y136" s="155" t="s">
        <v>244</v>
      </c>
      <c r="Z136" t="str">
        <f t="shared" ca="1" si="41"/>
        <v/>
      </c>
      <c r="AA136" s="156">
        <f ca="1">IF($C136="S",IF($Z136="CP",$X136,IF($Z136="RA",(($X136)*QCI!$AA$3),0)),SomaAgrup)</f>
        <v>0</v>
      </c>
      <c r="AB136" s="157">
        <f t="shared" ca="1" si="42"/>
        <v>0</v>
      </c>
      <c r="AC136" s="158" t="str">
        <f t="shared" ca="1" si="43"/>
        <v/>
      </c>
      <c r="AD136" s="104" t="str">
        <f ca="1">IF(C136&lt;=CRONO.NivelExibicao,MAX($AD$15:OFFSET(AD136,-1,0))+IF($C136&lt;&gt;1,1,MAX(1,COUNTIF(QCI!$A$13:$A$24,OFFSET($E136,-1,0)))),"")</f>
        <v/>
      </c>
      <c r="AE136" s="114" t="b">
        <f t="shared" ca="1" si="44"/>
        <v>0</v>
      </c>
      <c r="AF136" s="159" t="str">
        <f t="shared" ca="1" si="45"/>
        <v>(abra o arquivo 'Referência 05-2023.xls)</v>
      </c>
      <c r="AG136" s="549">
        <f t="shared" ca="1" si="46"/>
        <v>0</v>
      </c>
      <c r="AH136" s="550">
        <f t="shared" ca="1" si="47"/>
        <v>0.25</v>
      </c>
      <c r="AJ136" s="552"/>
      <c r="AL136" s="573"/>
      <c r="AM136" s="430">
        <f t="shared" ca="1" si="48"/>
        <v>0</v>
      </c>
      <c r="AN136" s="616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4</v>
      </c>
      <c r="G137">
        <f t="shared" ca="1" si="30"/>
        <v>0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3" t="str">
        <f t="shared" ca="1" si="34"/>
        <v/>
      </c>
      <c r="M137" s="144" t="s">
        <v>198</v>
      </c>
      <c r="N137" s="145" t="str">
        <f t="shared" ca="1" si="35"/>
        <v>Serviço</v>
      </c>
      <c r="O137" s="146" t="str">
        <f t="shared" ca="1" si="36"/>
        <v>-</v>
      </c>
      <c r="P137" s="147" t="s">
        <v>246</v>
      </c>
      <c r="Q137" s="148"/>
      <c r="R137" s="149" t="str">
        <f t="shared" ca="1" si="37"/>
        <v>(abra o arquivo 'Referência 05-2023.xls)</v>
      </c>
      <c r="S137" s="150" t="str">
        <f t="shared" ca="1" si="38"/>
        <v>-</v>
      </c>
      <c r="T137" s="151">
        <f ca="1">OFFSET(CÁLCULO!H$15,ROW($T137)-ROW(T$15),0)</f>
        <v>0</v>
      </c>
      <c r="U137" s="152"/>
      <c r="V137" s="153" t="s">
        <v>155</v>
      </c>
      <c r="W137" s="151">
        <f t="shared" ca="1" si="39"/>
        <v>0</v>
      </c>
      <c r="X137" s="154">
        <f t="shared" ca="1" si="40"/>
        <v>0</v>
      </c>
      <c r="Y137" s="155" t="s">
        <v>244</v>
      </c>
      <c r="Z137" t="str">
        <f t="shared" ca="1" si="41"/>
        <v/>
      </c>
      <c r="AA137" s="156">
        <f ca="1">IF($C137="S",IF($Z137="CP",$X137,IF($Z137="RA",(($X137)*QCI!$AA$3),0)),SomaAgrup)</f>
        <v>0</v>
      </c>
      <c r="AB137" s="157">
        <f t="shared" ca="1" si="42"/>
        <v>0</v>
      </c>
      <c r="AC137" s="158" t="str">
        <f t="shared" ca="1" si="43"/>
        <v/>
      </c>
      <c r="AD137" s="104" t="str">
        <f ca="1">IF(C137&lt;=CRONO.NivelExibicao,MAX($AD$15:OFFSET(AD137,-1,0))+IF($C137&lt;&gt;1,1,MAX(1,COUNTIF(QCI!$A$13:$A$24,OFFSET($E137,-1,0)))),"")</f>
        <v/>
      </c>
      <c r="AE137" s="114" t="b">
        <f t="shared" ca="1" si="44"/>
        <v>0</v>
      </c>
      <c r="AF137" s="159" t="str">
        <f t="shared" ca="1" si="45"/>
        <v>(abra o arquivo 'Referência 05-2023.xls)</v>
      </c>
      <c r="AG137" s="549">
        <f t="shared" ca="1" si="46"/>
        <v>0</v>
      </c>
      <c r="AH137" s="550">
        <f t="shared" ca="1" si="47"/>
        <v>0.25</v>
      </c>
      <c r="AJ137" s="552"/>
      <c r="AL137" s="573"/>
      <c r="AM137" s="430">
        <f t="shared" ca="1" si="48"/>
        <v>0</v>
      </c>
      <c r="AN137" s="616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4</v>
      </c>
      <c r="G138">
        <f t="shared" ca="1" si="30"/>
        <v>0</v>
      </c>
      <c r="H138">
        <f t="shared" ca="1" si="31"/>
        <v>0</v>
      </c>
      <c r="I138">
        <f t="shared" ca="1" si="32"/>
        <v>1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3" t="str">
        <f t="shared" ca="1" si="34"/>
        <v/>
      </c>
      <c r="M138" s="144" t="s">
        <v>198</v>
      </c>
      <c r="N138" s="145" t="str">
        <f t="shared" ca="1" si="35"/>
        <v>Serviço</v>
      </c>
      <c r="O138" s="146" t="str">
        <f t="shared" ca="1" si="36"/>
        <v>-</v>
      </c>
      <c r="P138" s="147" t="s">
        <v>246</v>
      </c>
      <c r="Q138" s="148"/>
      <c r="R138" s="149" t="str">
        <f t="shared" ca="1" si="37"/>
        <v>(abra o arquivo 'Referência 05-2023.xls)</v>
      </c>
      <c r="S138" s="150" t="str">
        <f t="shared" ca="1" si="38"/>
        <v>-</v>
      </c>
      <c r="T138" s="151">
        <f ca="1">OFFSET(CÁLCULO!H$15,ROW($T138)-ROW(T$15),0)</f>
        <v>0</v>
      </c>
      <c r="U138" s="152"/>
      <c r="V138" s="153" t="s">
        <v>155</v>
      </c>
      <c r="W138" s="151">
        <f t="shared" ca="1" si="39"/>
        <v>0</v>
      </c>
      <c r="X138" s="154">
        <f t="shared" ca="1" si="40"/>
        <v>0</v>
      </c>
      <c r="Y138" s="155" t="s">
        <v>244</v>
      </c>
      <c r="Z138" t="str">
        <f t="shared" ca="1" si="41"/>
        <v/>
      </c>
      <c r="AA138" s="156">
        <f ca="1">IF($C138="S",IF($Z138="CP",$X138,IF($Z138="RA",(($X138)*QCI!$AA$3),0)),SomaAgrup)</f>
        <v>0</v>
      </c>
      <c r="AB138" s="157">
        <f t="shared" ca="1" si="42"/>
        <v>0</v>
      </c>
      <c r="AC138" s="158" t="str">
        <f t="shared" ca="1" si="43"/>
        <v/>
      </c>
      <c r="AD138" s="104" t="str">
        <f ca="1">IF(C138&lt;=CRONO.NivelExibicao,MAX($AD$15:OFFSET(AD138,-1,0))+IF($C138&lt;&gt;1,1,MAX(1,COUNTIF(QCI!$A$13:$A$24,OFFSET($E138,-1,0)))),"")</f>
        <v/>
      </c>
      <c r="AE138" s="114" t="b">
        <f t="shared" ca="1" si="44"/>
        <v>0</v>
      </c>
      <c r="AF138" s="159" t="str">
        <f t="shared" ca="1" si="45"/>
        <v>(abra o arquivo 'Referência 05-2023.xls)</v>
      </c>
      <c r="AG138" s="549">
        <f t="shared" ca="1" si="46"/>
        <v>0</v>
      </c>
      <c r="AH138" s="550">
        <f t="shared" ca="1" si="47"/>
        <v>0.25</v>
      </c>
      <c r="AJ138" s="552"/>
      <c r="AL138" s="573"/>
      <c r="AM138" s="430">
        <f t="shared" ca="1" si="48"/>
        <v>0</v>
      </c>
      <c r="AN138" s="616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4</v>
      </c>
      <c r="G139">
        <f t="shared" ca="1" si="30"/>
        <v>0</v>
      </c>
      <c r="H139">
        <f t="shared" ca="1" si="31"/>
        <v>0</v>
      </c>
      <c r="I139">
        <f t="shared" ca="1" si="32"/>
        <v>1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3" t="str">
        <f t="shared" ca="1" si="34"/>
        <v/>
      </c>
      <c r="M139" s="144" t="s">
        <v>198</v>
      </c>
      <c r="N139" s="145" t="str">
        <f t="shared" ca="1" si="35"/>
        <v>Serviço</v>
      </c>
      <c r="O139" s="146" t="str">
        <f t="shared" ca="1" si="36"/>
        <v>-</v>
      </c>
      <c r="P139" s="147" t="s">
        <v>246</v>
      </c>
      <c r="Q139" s="148"/>
      <c r="R139" s="149" t="str">
        <f t="shared" ca="1" si="37"/>
        <v>(abra o arquivo 'Referência 05-2023.xls)</v>
      </c>
      <c r="S139" s="150" t="str">
        <f t="shared" ca="1" si="38"/>
        <v>-</v>
      </c>
      <c r="T139" s="151">
        <f ca="1">OFFSET(CÁLCULO!H$15,ROW($T139)-ROW(T$15),0)</f>
        <v>0</v>
      </c>
      <c r="U139" s="152"/>
      <c r="V139" s="153" t="s">
        <v>155</v>
      </c>
      <c r="W139" s="151">
        <f t="shared" ca="1" si="39"/>
        <v>0</v>
      </c>
      <c r="X139" s="154">
        <f t="shared" ca="1" si="40"/>
        <v>0</v>
      </c>
      <c r="Y139" s="155" t="s">
        <v>244</v>
      </c>
      <c r="Z139" t="str">
        <f t="shared" ca="1" si="41"/>
        <v/>
      </c>
      <c r="AA139" s="156">
        <f ca="1">IF($C139="S",IF($Z139="CP",$X139,IF($Z139="RA",(($X139)*QCI!$AA$3),0)),SomaAgrup)</f>
        <v>0</v>
      </c>
      <c r="AB139" s="157">
        <f t="shared" ca="1" si="42"/>
        <v>0</v>
      </c>
      <c r="AC139" s="158" t="str">
        <f t="shared" ca="1" si="43"/>
        <v/>
      </c>
      <c r="AD139" s="104" t="str">
        <f ca="1">IF(C139&lt;=CRONO.NivelExibicao,MAX($AD$15:OFFSET(AD139,-1,0))+IF($C139&lt;&gt;1,1,MAX(1,COUNTIF(QCI!$A$13:$A$24,OFFSET($E139,-1,0)))),"")</f>
        <v/>
      </c>
      <c r="AE139" s="114" t="b">
        <f t="shared" ca="1" si="44"/>
        <v>0</v>
      </c>
      <c r="AF139" s="159" t="str">
        <f t="shared" ca="1" si="45"/>
        <v>(abra o arquivo 'Referência 05-2023.xls)</v>
      </c>
      <c r="AG139" s="549">
        <f t="shared" ca="1" si="46"/>
        <v>0</v>
      </c>
      <c r="AH139" s="550">
        <f t="shared" ca="1" si="47"/>
        <v>0.25</v>
      </c>
      <c r="AJ139" s="552"/>
      <c r="AL139" s="573"/>
      <c r="AM139" s="430">
        <f t="shared" ca="1" si="48"/>
        <v>0</v>
      </c>
      <c r="AN139" s="616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4</v>
      </c>
      <c r="G140">
        <f t="shared" ca="1" si="30"/>
        <v>0</v>
      </c>
      <c r="H140">
        <f t="shared" ca="1" si="31"/>
        <v>0</v>
      </c>
      <c r="I140">
        <f t="shared" ca="1" si="32"/>
        <v>1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3" t="str">
        <f t="shared" ca="1" si="34"/>
        <v/>
      </c>
      <c r="M140" s="144" t="s">
        <v>198</v>
      </c>
      <c r="N140" s="145" t="str">
        <f t="shared" ca="1" si="35"/>
        <v>Serviço</v>
      </c>
      <c r="O140" s="146" t="str">
        <f t="shared" ca="1" si="36"/>
        <v>-</v>
      </c>
      <c r="P140" s="147" t="s">
        <v>246</v>
      </c>
      <c r="Q140" s="148"/>
      <c r="R140" s="149" t="str">
        <f t="shared" ca="1" si="37"/>
        <v>(abra o arquivo 'Referência 05-2023.xls)</v>
      </c>
      <c r="S140" s="150" t="str">
        <f t="shared" ca="1" si="38"/>
        <v>-</v>
      </c>
      <c r="T140" s="151">
        <f ca="1">OFFSET(CÁLCULO!H$15,ROW($T140)-ROW(T$15),0)</f>
        <v>0</v>
      </c>
      <c r="U140" s="152"/>
      <c r="V140" s="153" t="s">
        <v>155</v>
      </c>
      <c r="W140" s="151">
        <f t="shared" ca="1" si="39"/>
        <v>0</v>
      </c>
      <c r="X140" s="154">
        <f t="shared" ca="1" si="40"/>
        <v>0</v>
      </c>
      <c r="Y140" s="155" t="s">
        <v>244</v>
      </c>
      <c r="Z140" t="str">
        <f t="shared" ca="1" si="41"/>
        <v/>
      </c>
      <c r="AA140" s="156">
        <f ca="1">IF($C140="S",IF($Z140="CP",$X140,IF($Z140="RA",(($X140)*QCI!$AA$3),0)),SomaAgrup)</f>
        <v>0</v>
      </c>
      <c r="AB140" s="157">
        <f t="shared" ca="1" si="42"/>
        <v>0</v>
      </c>
      <c r="AC140" s="158" t="str">
        <f t="shared" ca="1" si="43"/>
        <v/>
      </c>
      <c r="AD140" s="104" t="str">
        <f ca="1">IF(C140&lt;=CRONO.NivelExibicao,MAX($AD$15:OFFSET(AD140,-1,0))+IF($C140&lt;&gt;1,1,MAX(1,COUNTIF(QCI!$A$13:$A$24,OFFSET($E140,-1,0)))),"")</f>
        <v/>
      </c>
      <c r="AE140" s="114" t="b">
        <f t="shared" ca="1" si="44"/>
        <v>0</v>
      </c>
      <c r="AF140" s="159" t="str">
        <f t="shared" ca="1" si="45"/>
        <v>(abra o arquivo 'Referência 05-2023.xls)</v>
      </c>
      <c r="AG140" s="549">
        <f t="shared" ca="1" si="46"/>
        <v>0</v>
      </c>
      <c r="AH140" s="550">
        <f t="shared" ca="1" si="47"/>
        <v>0.25</v>
      </c>
      <c r="AJ140" s="552"/>
      <c r="AL140" s="573"/>
      <c r="AM140" s="430">
        <f t="shared" ca="1" si="48"/>
        <v>0</v>
      </c>
      <c r="AN140" s="616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1</v>
      </c>
      <c r="F141">
        <f t="shared" ca="1" si="29"/>
        <v>4</v>
      </c>
      <c r="G141">
        <f t="shared" ca="1" si="30"/>
        <v>0</v>
      </c>
      <c r="H141">
        <f t="shared" ca="1" si="31"/>
        <v>0</v>
      </c>
      <c r="I141">
        <f t="shared" ca="1" si="32"/>
        <v>1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3" t="str">
        <f t="shared" ca="1" si="34"/>
        <v/>
      </c>
      <c r="M141" s="144" t="s">
        <v>198</v>
      </c>
      <c r="N141" s="145" t="str">
        <f t="shared" ca="1" si="35"/>
        <v>Serviço</v>
      </c>
      <c r="O141" s="146" t="str">
        <f t="shared" ca="1" si="36"/>
        <v>-</v>
      </c>
      <c r="P141" s="147" t="s">
        <v>246</v>
      </c>
      <c r="Q141" s="148"/>
      <c r="R141" s="149" t="str">
        <f t="shared" ca="1" si="37"/>
        <v>(abra o arquivo 'Referência 05-2023.xls)</v>
      </c>
      <c r="S141" s="150" t="str">
        <f t="shared" ca="1" si="38"/>
        <v>-</v>
      </c>
      <c r="T141" s="151">
        <f ca="1">OFFSET(CÁLCULO!H$15,ROW($T141)-ROW(T$15),0)</f>
        <v>0</v>
      </c>
      <c r="U141" s="152"/>
      <c r="V141" s="153" t="s">
        <v>155</v>
      </c>
      <c r="W141" s="151">
        <f t="shared" ca="1" si="39"/>
        <v>0</v>
      </c>
      <c r="X141" s="154">
        <f t="shared" ca="1" si="40"/>
        <v>0</v>
      </c>
      <c r="Y141" s="155" t="s">
        <v>244</v>
      </c>
      <c r="Z141" t="str">
        <f t="shared" ca="1" si="41"/>
        <v/>
      </c>
      <c r="AA141" s="156">
        <f ca="1">IF($C141="S",IF($Z141="CP",$X141,IF($Z141="RA",(($X141)*QCI!$AA$3),0)),SomaAgrup)</f>
        <v>0</v>
      </c>
      <c r="AB141" s="157">
        <f t="shared" ca="1" si="42"/>
        <v>0</v>
      </c>
      <c r="AC141" s="158" t="str">
        <f t="shared" ca="1" si="43"/>
        <v/>
      </c>
      <c r="AD141" s="104" t="str">
        <f ca="1">IF(C141&lt;=CRONO.NivelExibicao,MAX($AD$15:OFFSET(AD141,-1,0))+IF($C141&lt;&gt;1,1,MAX(1,COUNTIF(QCI!$A$13:$A$24,OFFSET($E141,-1,0)))),"")</f>
        <v/>
      </c>
      <c r="AE141" s="114" t="b">
        <f t="shared" ca="1" si="44"/>
        <v>0</v>
      </c>
      <c r="AF141" s="159" t="str">
        <f t="shared" ca="1" si="45"/>
        <v>(abra o arquivo 'Referência 05-2023.xls)</v>
      </c>
      <c r="AG141" s="549">
        <f t="shared" ca="1" si="46"/>
        <v>0</v>
      </c>
      <c r="AH141" s="550">
        <f t="shared" ca="1" si="47"/>
        <v>0.25</v>
      </c>
      <c r="AJ141" s="552"/>
      <c r="AL141" s="573"/>
      <c r="AM141" s="430">
        <f t="shared" ca="1" si="48"/>
        <v>0</v>
      </c>
      <c r="AN141" s="616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4</v>
      </c>
      <c r="G142">
        <f t="shared" ca="1" si="30"/>
        <v>0</v>
      </c>
      <c r="H142">
        <f t="shared" ca="1" si="31"/>
        <v>0</v>
      </c>
      <c r="I142">
        <f t="shared" ca="1" si="32"/>
        <v>1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3" t="str">
        <f t="shared" ca="1" si="34"/>
        <v/>
      </c>
      <c r="M142" s="144" t="s">
        <v>198</v>
      </c>
      <c r="N142" s="145" t="str">
        <f t="shared" ca="1" si="35"/>
        <v>Serviço</v>
      </c>
      <c r="O142" s="146" t="str">
        <f t="shared" ca="1" si="36"/>
        <v>-</v>
      </c>
      <c r="P142" s="147" t="s">
        <v>246</v>
      </c>
      <c r="Q142" s="148"/>
      <c r="R142" s="149" t="str">
        <f t="shared" ca="1" si="37"/>
        <v>(abra o arquivo 'Referência 05-2023.xls)</v>
      </c>
      <c r="S142" s="150" t="str">
        <f t="shared" ca="1" si="38"/>
        <v>-</v>
      </c>
      <c r="T142" s="151">
        <f ca="1">OFFSET(CÁLCULO!H$15,ROW($T142)-ROW(T$15),0)</f>
        <v>0</v>
      </c>
      <c r="U142" s="152"/>
      <c r="V142" s="153" t="s">
        <v>155</v>
      </c>
      <c r="W142" s="151">
        <f t="shared" ca="1" si="39"/>
        <v>0</v>
      </c>
      <c r="X142" s="154">
        <f t="shared" ca="1" si="40"/>
        <v>0</v>
      </c>
      <c r="Y142" s="155" t="s">
        <v>244</v>
      </c>
      <c r="Z142" t="str">
        <f t="shared" ca="1" si="41"/>
        <v/>
      </c>
      <c r="AA142" s="156">
        <f ca="1">IF($C142="S",IF($Z142="CP",$X142,IF($Z142="RA",(($X142)*QCI!$AA$3),0)),SomaAgrup)</f>
        <v>0</v>
      </c>
      <c r="AB142" s="157">
        <f t="shared" ca="1" si="42"/>
        <v>0</v>
      </c>
      <c r="AC142" s="158" t="str">
        <f t="shared" ca="1" si="43"/>
        <v/>
      </c>
      <c r="AD142" s="104" t="str">
        <f ca="1">IF(C142&lt;=CRONO.NivelExibicao,MAX($AD$15:OFFSET(AD142,-1,0))+IF($C142&lt;&gt;1,1,MAX(1,COUNTIF(QCI!$A$13:$A$24,OFFSET($E142,-1,0)))),"")</f>
        <v/>
      </c>
      <c r="AE142" s="114" t="b">
        <f t="shared" ca="1" si="44"/>
        <v>0</v>
      </c>
      <c r="AF142" s="159" t="str">
        <f t="shared" ca="1" si="45"/>
        <v>(abra o arquivo 'Referência 05-2023.xls)</v>
      </c>
      <c r="AG142" s="549">
        <f t="shared" ca="1" si="46"/>
        <v>0</v>
      </c>
      <c r="AH142" s="550">
        <f t="shared" ca="1" si="47"/>
        <v>0.25</v>
      </c>
      <c r="AJ142" s="552"/>
      <c r="AL142" s="573"/>
      <c r="AM142" s="430">
        <f t="shared" ca="1" si="48"/>
        <v>0</v>
      </c>
      <c r="AN142" s="616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4</v>
      </c>
      <c r="G143">
        <f t="shared" ca="1" si="30"/>
        <v>0</v>
      </c>
      <c r="H143">
        <f t="shared" ca="1" si="31"/>
        <v>0</v>
      </c>
      <c r="I143">
        <f t="shared" ca="1" si="32"/>
        <v>1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3" t="str">
        <f t="shared" ca="1" si="34"/>
        <v/>
      </c>
      <c r="M143" s="144" t="s">
        <v>198</v>
      </c>
      <c r="N143" s="145" t="str">
        <f t="shared" ca="1" si="35"/>
        <v>Serviço</v>
      </c>
      <c r="O143" s="146" t="str">
        <f t="shared" ca="1" si="36"/>
        <v>-</v>
      </c>
      <c r="P143" s="147" t="s">
        <v>246</v>
      </c>
      <c r="Q143" s="148"/>
      <c r="R143" s="149" t="str">
        <f t="shared" ca="1" si="37"/>
        <v>(abra o arquivo 'Referência 05-2023.xls)</v>
      </c>
      <c r="S143" s="150" t="str">
        <f t="shared" ca="1" si="38"/>
        <v>-</v>
      </c>
      <c r="T143" s="151">
        <f ca="1">OFFSET(CÁLCULO!H$15,ROW($T143)-ROW(T$15),0)</f>
        <v>0</v>
      </c>
      <c r="U143" s="152"/>
      <c r="V143" s="153" t="s">
        <v>155</v>
      </c>
      <c r="W143" s="151">
        <f t="shared" ca="1" si="39"/>
        <v>0</v>
      </c>
      <c r="X143" s="154">
        <f t="shared" ca="1" si="40"/>
        <v>0</v>
      </c>
      <c r="Y143" s="155" t="s">
        <v>244</v>
      </c>
      <c r="Z143" t="str">
        <f t="shared" ca="1" si="41"/>
        <v/>
      </c>
      <c r="AA143" s="156">
        <f ca="1">IF($C143="S",IF($Z143="CP",$X143,IF($Z143="RA",(($X143)*QCI!$AA$3),0)),SomaAgrup)</f>
        <v>0</v>
      </c>
      <c r="AB143" s="157">
        <f t="shared" ca="1" si="42"/>
        <v>0</v>
      </c>
      <c r="AC143" s="158" t="str">
        <f t="shared" ca="1" si="43"/>
        <v/>
      </c>
      <c r="AD143" s="104" t="str">
        <f ca="1">IF(C143&lt;=CRONO.NivelExibicao,MAX($AD$15:OFFSET(AD143,-1,0))+IF($C143&lt;&gt;1,1,MAX(1,COUNTIF(QCI!$A$13:$A$24,OFFSET($E143,-1,0)))),"")</f>
        <v/>
      </c>
      <c r="AE143" s="114" t="b">
        <f t="shared" ca="1" si="44"/>
        <v>0</v>
      </c>
      <c r="AF143" s="159" t="str">
        <f t="shared" ca="1" si="45"/>
        <v>(abra o arquivo 'Referência 05-2023.xls)</v>
      </c>
      <c r="AG143" s="549">
        <f t="shared" ca="1" si="46"/>
        <v>0</v>
      </c>
      <c r="AH143" s="550">
        <f t="shared" ca="1" si="47"/>
        <v>0.25</v>
      </c>
      <c r="AJ143" s="552"/>
      <c r="AL143" s="573"/>
      <c r="AM143" s="430">
        <f t="shared" ca="1" si="48"/>
        <v>0</v>
      </c>
      <c r="AN143" s="616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4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3" t="str">
        <f t="shared" ref="L144:L207" ca="1" si="59">IF(OR($X144&gt;0,$C144=1,$C144=2,$C144=3,$C144=4),"F","")</f>
        <v/>
      </c>
      <c r="M144" s="144" t="s">
        <v>198</v>
      </c>
      <c r="N144" s="145" t="str">
        <f t="shared" ref="N144:N207" ca="1" si="60">CHOOSE(1+LOG(1+2*(C144=1)+4*(C144=2)+8*(C144=3)+16*(C144=4)+32*(C144="S"),2),"","Meta","Nível 2","Nível 3","Nível 4","Serviço")</f>
        <v>Serviço</v>
      </c>
      <c r="O144" s="146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7" t="s">
        <v>246</v>
      </c>
      <c r="Q144" s="148"/>
      <c r="R144" s="149" t="str">
        <f t="shared" ref="R144:R207" ca="1" si="62">IF($C144="S",REFERENCIA.Descricao,"(digite a descrição aqui)")</f>
        <v>(abra o arquivo 'Referência 05-2023.xls)</v>
      </c>
      <c r="S144" s="150" t="str">
        <f t="shared" ref="S144:S207" ca="1" si="63">REFERENCIA.Unidade</f>
        <v>-</v>
      </c>
      <c r="T144" s="151">
        <f ca="1">OFFSET(CÁLCULO!H$15,ROW($T144)-ROW(T$15),0)</f>
        <v>0</v>
      </c>
      <c r="U144" s="152"/>
      <c r="V144" s="153" t="s">
        <v>155</v>
      </c>
      <c r="W144" s="151">
        <f t="shared" ref="W144:W207" ca="1" si="64">IF($C144="S",ROUND(IF(TIPOORCAMENTO="Proposto",ORÇAMENTO.CustoUnitario*(1+$AH144),ORÇAMENTO.PrecoUnitarioLicitado),15-13*$AF$10),0)</f>
        <v>0</v>
      </c>
      <c r="X144" s="154">
        <f t="shared" ref="X144:X207" ca="1" si="65">IF($C144="S",VTOTAL1,IF($C144=0,0,ROUND(SomaAgrup,15-13*$AF$11)))</f>
        <v>0</v>
      </c>
      <c r="Y144" s="155" t="s">
        <v>244</v>
      </c>
      <c r="Z144" t="str">
        <f t="shared" ref="Z144:Z207" ca="1" si="66">IF(AND($C144="S",$X144&gt;0),IF(ISBLANK($Y144),"RA",LEFT($Y144,2)),"")</f>
        <v/>
      </c>
      <c r="AA144" s="156">
        <f ca="1">IF($C144="S",IF($Z144="CP",$X144,IF($Z144="RA",(($X144)*QCI!$AA$3),0)),SomaAgrup)</f>
        <v>0</v>
      </c>
      <c r="AB144" s="157">
        <f t="shared" ref="AB144:AB207" ca="1" si="67">IF($C144="S",IF($Z144="OU",ROUND($X144,2),0),SomaAgrup)</f>
        <v>0</v>
      </c>
      <c r="AC144" s="158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4" t="str">
        <f ca="1">IF(C144&lt;=CRONO.NivelExibicao,MAX($AD$15:OFFSET(AD144,-1,0))+IF($C144&lt;&gt;1,1,MAX(1,COUNTIF(QCI!$A$13:$A$24,OFFSET($E144,-1,0)))),"")</f>
        <v/>
      </c>
      <c r="AE144" s="114" t="b">
        <f t="shared" ref="AE144:AE207" ca="1" si="69">IF(AND($C144="S",ORÇAMENTO.CodBarra&lt;&gt;""),IF(ORÇAMENTO.Fonte="",ORÇAMENTO.CodBarra,CONCATENATE(ORÇAMENTO.Fonte," ",ORÇAMENTO.CodBarra)))</f>
        <v>0</v>
      </c>
      <c r="AF144" s="159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(abra o arquivo 'Referência 05-2023.xls)</v>
      </c>
      <c r="AG144" s="549">
        <f t="shared" ref="AG144:AG207" ca="1" si="71">ROUND(IF(DESONERACAO="sim",REFERENCIA.Desonerado,REFERENCIA.NaoDesonerado),2)</f>
        <v>0</v>
      </c>
      <c r="AH144" s="550">
        <f t="shared" ref="AH144:AH207" ca="1" si="72">ROUND(IF(ISNUMBER(ORÇAMENTO.OpcaoBDI),ORÇAMENTO.OpcaoBDI,IF(LEFT(ORÇAMENTO.OpcaoBDI,3)="BDI",HLOOKUP(ORÇAMENTO.OpcaoBDI,$F$4:$H$5,2,FALSE),0)),15-11*$AF$9)</f>
        <v>0.25</v>
      </c>
      <c r="AJ144" s="552"/>
      <c r="AL144" s="573"/>
      <c r="AM144" s="430">
        <f t="shared" ref="AM144:AM207" ca="1" si="73">$X144</f>
        <v>0</v>
      </c>
      <c r="AN144" s="616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4</v>
      </c>
      <c r="G145">
        <f t="shared" ca="1" si="55"/>
        <v>0</v>
      </c>
      <c r="H145">
        <f t="shared" ca="1" si="56"/>
        <v>0</v>
      </c>
      <c r="I145">
        <f t="shared" ca="1" si="57"/>
        <v>1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3" t="str">
        <f t="shared" ca="1" si="59"/>
        <v/>
      </c>
      <c r="M145" s="144" t="s">
        <v>198</v>
      </c>
      <c r="N145" s="145" t="str">
        <f t="shared" ca="1" si="60"/>
        <v>Serviço</v>
      </c>
      <c r="O145" s="146" t="str">
        <f t="shared" ca="1" si="61"/>
        <v>-</v>
      </c>
      <c r="P145" s="147" t="s">
        <v>246</v>
      </c>
      <c r="Q145" s="148"/>
      <c r="R145" s="149" t="str">
        <f t="shared" ca="1" si="62"/>
        <v>(abra o arquivo 'Referência 05-2023.xls)</v>
      </c>
      <c r="S145" s="150" t="str">
        <f t="shared" ca="1" si="63"/>
        <v>-</v>
      </c>
      <c r="T145" s="151">
        <f ca="1">OFFSET(CÁLCULO!H$15,ROW($T145)-ROW(T$15),0)</f>
        <v>0</v>
      </c>
      <c r="U145" s="152"/>
      <c r="V145" s="153" t="s">
        <v>155</v>
      </c>
      <c r="W145" s="151">
        <f t="shared" ca="1" si="64"/>
        <v>0</v>
      </c>
      <c r="X145" s="154">
        <f t="shared" ca="1" si="65"/>
        <v>0</v>
      </c>
      <c r="Y145" s="155" t="s">
        <v>244</v>
      </c>
      <c r="Z145" t="str">
        <f t="shared" ca="1" si="66"/>
        <v/>
      </c>
      <c r="AA145" s="156">
        <f ca="1">IF($C145="S",IF($Z145="CP",$X145,IF($Z145="RA",(($X145)*QCI!$AA$3),0)),SomaAgrup)</f>
        <v>0</v>
      </c>
      <c r="AB145" s="157">
        <f t="shared" ca="1" si="67"/>
        <v>0</v>
      </c>
      <c r="AC145" s="158" t="str">
        <f t="shared" ca="1" si="68"/>
        <v/>
      </c>
      <c r="AD145" s="104" t="str">
        <f ca="1">IF(C145&lt;=CRONO.NivelExibicao,MAX($AD$15:OFFSET(AD145,-1,0))+IF($C145&lt;&gt;1,1,MAX(1,COUNTIF(QCI!$A$13:$A$24,OFFSET($E145,-1,0)))),"")</f>
        <v/>
      </c>
      <c r="AE145" s="114" t="b">
        <f t="shared" ca="1" si="69"/>
        <v>0</v>
      </c>
      <c r="AF145" s="159" t="str">
        <f t="shared" ca="1" si="70"/>
        <v>(abra o arquivo 'Referência 05-2023.xls)</v>
      </c>
      <c r="AG145" s="549">
        <f t="shared" ca="1" si="71"/>
        <v>0</v>
      </c>
      <c r="AH145" s="550">
        <f t="shared" ca="1" si="72"/>
        <v>0.25</v>
      </c>
      <c r="AJ145" s="552"/>
      <c r="AL145" s="573"/>
      <c r="AM145" s="430">
        <f t="shared" ca="1" si="73"/>
        <v>0</v>
      </c>
      <c r="AN145" s="616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4</v>
      </c>
      <c r="G146">
        <f t="shared" ca="1" si="55"/>
        <v>0</v>
      </c>
      <c r="H146">
        <f t="shared" ca="1" si="56"/>
        <v>0</v>
      </c>
      <c r="I146">
        <f t="shared" ca="1" si="57"/>
        <v>1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3" t="str">
        <f t="shared" ca="1" si="59"/>
        <v/>
      </c>
      <c r="M146" s="144" t="s">
        <v>198</v>
      </c>
      <c r="N146" s="145" t="str">
        <f t="shared" ca="1" si="60"/>
        <v>Serviço</v>
      </c>
      <c r="O146" s="146" t="str">
        <f t="shared" ca="1" si="61"/>
        <v>-</v>
      </c>
      <c r="P146" s="147" t="s">
        <v>246</v>
      </c>
      <c r="Q146" s="148"/>
      <c r="R146" s="149" t="str">
        <f t="shared" ca="1" si="62"/>
        <v>(abra o arquivo 'Referência 05-2023.xls)</v>
      </c>
      <c r="S146" s="150" t="str">
        <f t="shared" ca="1" si="63"/>
        <v>-</v>
      </c>
      <c r="T146" s="151">
        <f ca="1">OFFSET(CÁLCULO!H$15,ROW($T146)-ROW(T$15),0)</f>
        <v>0</v>
      </c>
      <c r="U146" s="152"/>
      <c r="V146" s="153" t="s">
        <v>155</v>
      </c>
      <c r="W146" s="151">
        <f t="shared" ca="1" si="64"/>
        <v>0</v>
      </c>
      <c r="X146" s="154">
        <f t="shared" ca="1" si="65"/>
        <v>0</v>
      </c>
      <c r="Y146" s="155" t="s">
        <v>244</v>
      </c>
      <c r="Z146" t="str">
        <f t="shared" ca="1" si="66"/>
        <v/>
      </c>
      <c r="AA146" s="156">
        <f ca="1">IF($C146="S",IF($Z146="CP",$X146,IF($Z146="RA",(($X146)*QCI!$AA$3),0)),SomaAgrup)</f>
        <v>0</v>
      </c>
      <c r="AB146" s="157">
        <f t="shared" ca="1" si="67"/>
        <v>0</v>
      </c>
      <c r="AC146" s="158" t="str">
        <f t="shared" ca="1" si="68"/>
        <v/>
      </c>
      <c r="AD146" s="104" t="str">
        <f ca="1">IF(C146&lt;=CRONO.NivelExibicao,MAX($AD$15:OFFSET(AD146,-1,0))+IF($C146&lt;&gt;1,1,MAX(1,COUNTIF(QCI!$A$13:$A$24,OFFSET($E146,-1,0)))),"")</f>
        <v/>
      </c>
      <c r="AE146" s="114" t="b">
        <f t="shared" ca="1" si="69"/>
        <v>0</v>
      </c>
      <c r="AF146" s="159" t="str">
        <f t="shared" ca="1" si="70"/>
        <v>(abra o arquivo 'Referência 05-2023.xls)</v>
      </c>
      <c r="AG146" s="549">
        <f t="shared" ca="1" si="71"/>
        <v>0</v>
      </c>
      <c r="AH146" s="550">
        <f t="shared" ca="1" si="72"/>
        <v>0.25</v>
      </c>
      <c r="AJ146" s="552"/>
      <c r="AL146" s="573"/>
      <c r="AM146" s="430">
        <f t="shared" ca="1" si="73"/>
        <v>0</v>
      </c>
      <c r="AN146" s="616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4</v>
      </c>
      <c r="G147">
        <f t="shared" ca="1" si="55"/>
        <v>0</v>
      </c>
      <c r="H147">
        <f t="shared" ca="1" si="56"/>
        <v>0</v>
      </c>
      <c r="I147">
        <f t="shared" ca="1" si="57"/>
        <v>1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3" t="str">
        <f t="shared" ca="1" si="59"/>
        <v/>
      </c>
      <c r="M147" s="144" t="s">
        <v>198</v>
      </c>
      <c r="N147" s="145" t="str">
        <f t="shared" ca="1" si="60"/>
        <v>Serviço</v>
      </c>
      <c r="O147" s="146" t="str">
        <f t="shared" ca="1" si="61"/>
        <v>-</v>
      </c>
      <c r="P147" s="147" t="s">
        <v>246</v>
      </c>
      <c r="Q147" s="148"/>
      <c r="R147" s="149" t="str">
        <f t="shared" ca="1" si="62"/>
        <v>(abra o arquivo 'Referência 05-2023.xls)</v>
      </c>
      <c r="S147" s="150" t="str">
        <f t="shared" ca="1" si="63"/>
        <v>-</v>
      </c>
      <c r="T147" s="151">
        <f ca="1">OFFSET(CÁLCULO!H$15,ROW($T147)-ROW(T$15),0)</f>
        <v>0</v>
      </c>
      <c r="U147" s="152"/>
      <c r="V147" s="153" t="s">
        <v>155</v>
      </c>
      <c r="W147" s="151">
        <f t="shared" ca="1" si="64"/>
        <v>0</v>
      </c>
      <c r="X147" s="154">
        <f t="shared" ca="1" si="65"/>
        <v>0</v>
      </c>
      <c r="Y147" s="155" t="s">
        <v>244</v>
      </c>
      <c r="Z147" t="str">
        <f t="shared" ca="1" si="66"/>
        <v/>
      </c>
      <c r="AA147" s="156">
        <f ca="1">IF($C147="S",IF($Z147="CP",$X147,IF($Z147="RA",(($X147)*QCI!$AA$3),0)),SomaAgrup)</f>
        <v>0</v>
      </c>
      <c r="AB147" s="157">
        <f t="shared" ca="1" si="67"/>
        <v>0</v>
      </c>
      <c r="AC147" s="158" t="str">
        <f t="shared" ca="1" si="68"/>
        <v/>
      </c>
      <c r="AD147" s="104" t="str">
        <f ca="1">IF(C147&lt;=CRONO.NivelExibicao,MAX($AD$15:OFFSET(AD147,-1,0))+IF($C147&lt;&gt;1,1,MAX(1,COUNTIF(QCI!$A$13:$A$24,OFFSET($E147,-1,0)))),"")</f>
        <v/>
      </c>
      <c r="AE147" s="114" t="b">
        <f t="shared" ca="1" si="69"/>
        <v>0</v>
      </c>
      <c r="AF147" s="159" t="str">
        <f t="shared" ca="1" si="70"/>
        <v>(abra o arquivo 'Referência 05-2023.xls)</v>
      </c>
      <c r="AG147" s="549">
        <f t="shared" ca="1" si="71"/>
        <v>0</v>
      </c>
      <c r="AH147" s="550">
        <f t="shared" ca="1" si="72"/>
        <v>0.25</v>
      </c>
      <c r="AJ147" s="552"/>
      <c r="AL147" s="573"/>
      <c r="AM147" s="430">
        <f t="shared" ca="1" si="73"/>
        <v>0</v>
      </c>
      <c r="AN147" s="616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4</v>
      </c>
      <c r="G148">
        <f t="shared" ca="1" si="55"/>
        <v>0</v>
      </c>
      <c r="H148">
        <f t="shared" ca="1" si="56"/>
        <v>0</v>
      </c>
      <c r="I148">
        <f t="shared" ca="1" si="57"/>
        <v>1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3" t="str">
        <f t="shared" ca="1" si="59"/>
        <v/>
      </c>
      <c r="M148" s="144" t="s">
        <v>198</v>
      </c>
      <c r="N148" s="145" t="str">
        <f t="shared" ca="1" si="60"/>
        <v>Serviço</v>
      </c>
      <c r="O148" s="146" t="str">
        <f t="shared" ca="1" si="61"/>
        <v>-</v>
      </c>
      <c r="P148" s="147" t="s">
        <v>246</v>
      </c>
      <c r="Q148" s="148"/>
      <c r="R148" s="149" t="str">
        <f t="shared" ca="1" si="62"/>
        <v>(abra o arquivo 'Referência 05-2023.xls)</v>
      </c>
      <c r="S148" s="150" t="str">
        <f t="shared" ca="1" si="63"/>
        <v>-</v>
      </c>
      <c r="T148" s="151">
        <f ca="1">OFFSET(CÁLCULO!H$15,ROW($T148)-ROW(T$15),0)</f>
        <v>0</v>
      </c>
      <c r="U148" s="152"/>
      <c r="V148" s="153" t="s">
        <v>155</v>
      </c>
      <c r="W148" s="151">
        <f t="shared" ca="1" si="64"/>
        <v>0</v>
      </c>
      <c r="X148" s="154">
        <f t="shared" ca="1" si="65"/>
        <v>0</v>
      </c>
      <c r="Y148" s="155" t="s">
        <v>244</v>
      </c>
      <c r="Z148" t="str">
        <f t="shared" ca="1" si="66"/>
        <v/>
      </c>
      <c r="AA148" s="156">
        <f ca="1">IF($C148="S",IF($Z148="CP",$X148,IF($Z148="RA",(($X148)*QCI!$AA$3),0)),SomaAgrup)</f>
        <v>0</v>
      </c>
      <c r="AB148" s="157">
        <f t="shared" ca="1" si="67"/>
        <v>0</v>
      </c>
      <c r="AC148" s="158" t="str">
        <f t="shared" ca="1" si="68"/>
        <v/>
      </c>
      <c r="AD148" s="104" t="str">
        <f ca="1">IF(C148&lt;=CRONO.NivelExibicao,MAX($AD$15:OFFSET(AD148,-1,0))+IF($C148&lt;&gt;1,1,MAX(1,COUNTIF(QCI!$A$13:$A$24,OFFSET($E148,-1,0)))),"")</f>
        <v/>
      </c>
      <c r="AE148" s="114" t="b">
        <f t="shared" ca="1" si="69"/>
        <v>0</v>
      </c>
      <c r="AF148" s="159" t="str">
        <f t="shared" ca="1" si="70"/>
        <v>(abra o arquivo 'Referência 05-2023.xls)</v>
      </c>
      <c r="AG148" s="549">
        <f t="shared" ca="1" si="71"/>
        <v>0</v>
      </c>
      <c r="AH148" s="550">
        <f t="shared" ca="1" si="72"/>
        <v>0.25</v>
      </c>
      <c r="AJ148" s="552"/>
      <c r="AL148" s="573"/>
      <c r="AM148" s="430">
        <f t="shared" ca="1" si="73"/>
        <v>0</v>
      </c>
      <c r="AN148" s="616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4</v>
      </c>
      <c r="G149">
        <f t="shared" ca="1" si="55"/>
        <v>0</v>
      </c>
      <c r="H149">
        <f t="shared" ca="1" si="56"/>
        <v>0</v>
      </c>
      <c r="I149">
        <f t="shared" ca="1" si="57"/>
        <v>1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3" t="str">
        <f t="shared" ca="1" si="59"/>
        <v/>
      </c>
      <c r="M149" s="144" t="s">
        <v>198</v>
      </c>
      <c r="N149" s="145" t="str">
        <f t="shared" ca="1" si="60"/>
        <v>Serviço</v>
      </c>
      <c r="O149" s="146" t="str">
        <f t="shared" ca="1" si="61"/>
        <v>-</v>
      </c>
      <c r="P149" s="147" t="s">
        <v>246</v>
      </c>
      <c r="Q149" s="148"/>
      <c r="R149" s="149" t="str">
        <f t="shared" ca="1" si="62"/>
        <v>(abra o arquivo 'Referência 05-2023.xls)</v>
      </c>
      <c r="S149" s="150" t="str">
        <f t="shared" ca="1" si="63"/>
        <v>-</v>
      </c>
      <c r="T149" s="151">
        <f ca="1">OFFSET(CÁLCULO!H$15,ROW($T149)-ROW(T$15),0)</f>
        <v>0</v>
      </c>
      <c r="U149" s="152"/>
      <c r="V149" s="153" t="s">
        <v>155</v>
      </c>
      <c r="W149" s="151">
        <f t="shared" ca="1" si="64"/>
        <v>0</v>
      </c>
      <c r="X149" s="154">
        <f t="shared" ca="1" si="65"/>
        <v>0</v>
      </c>
      <c r="Y149" s="155" t="s">
        <v>244</v>
      </c>
      <c r="Z149" t="str">
        <f t="shared" ca="1" si="66"/>
        <v/>
      </c>
      <c r="AA149" s="156">
        <f ca="1">IF($C149="S",IF($Z149="CP",$X149,IF($Z149="RA",(($X149)*QCI!$AA$3),0)),SomaAgrup)</f>
        <v>0</v>
      </c>
      <c r="AB149" s="157">
        <f t="shared" ca="1" si="67"/>
        <v>0</v>
      </c>
      <c r="AC149" s="158" t="str">
        <f t="shared" ca="1" si="68"/>
        <v/>
      </c>
      <c r="AD149" s="104" t="str">
        <f ca="1">IF(C149&lt;=CRONO.NivelExibicao,MAX($AD$15:OFFSET(AD149,-1,0))+IF($C149&lt;&gt;1,1,MAX(1,COUNTIF(QCI!$A$13:$A$24,OFFSET($E149,-1,0)))),"")</f>
        <v/>
      </c>
      <c r="AE149" s="114" t="b">
        <f t="shared" ca="1" si="69"/>
        <v>0</v>
      </c>
      <c r="AF149" s="159" t="str">
        <f t="shared" ca="1" si="70"/>
        <v>(abra o arquivo 'Referência 05-2023.xls)</v>
      </c>
      <c r="AG149" s="549">
        <f t="shared" ca="1" si="71"/>
        <v>0</v>
      </c>
      <c r="AH149" s="550">
        <f t="shared" ca="1" si="72"/>
        <v>0.25</v>
      </c>
      <c r="AJ149" s="552"/>
      <c r="AL149" s="573"/>
      <c r="AM149" s="430">
        <f t="shared" ca="1" si="73"/>
        <v>0</v>
      </c>
      <c r="AN149" s="616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4</v>
      </c>
      <c r="G150">
        <f t="shared" ca="1" si="55"/>
        <v>0</v>
      </c>
      <c r="H150">
        <f t="shared" ca="1" si="56"/>
        <v>0</v>
      </c>
      <c r="I150">
        <f t="shared" ca="1" si="57"/>
        <v>1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3" t="str">
        <f t="shared" ca="1" si="59"/>
        <v/>
      </c>
      <c r="M150" s="144" t="s">
        <v>198</v>
      </c>
      <c r="N150" s="145" t="str">
        <f t="shared" ca="1" si="60"/>
        <v>Serviço</v>
      </c>
      <c r="O150" s="146" t="str">
        <f t="shared" ca="1" si="61"/>
        <v>-</v>
      </c>
      <c r="P150" s="147" t="s">
        <v>246</v>
      </c>
      <c r="Q150" s="148"/>
      <c r="R150" s="149" t="str">
        <f t="shared" ca="1" si="62"/>
        <v>(abra o arquivo 'Referência 05-2023.xls)</v>
      </c>
      <c r="S150" s="150" t="str">
        <f t="shared" ca="1" si="63"/>
        <v>-</v>
      </c>
      <c r="T150" s="151">
        <f ca="1">OFFSET(CÁLCULO!H$15,ROW($T150)-ROW(T$15),0)</f>
        <v>0</v>
      </c>
      <c r="U150" s="152"/>
      <c r="V150" s="153" t="s">
        <v>155</v>
      </c>
      <c r="W150" s="151">
        <f t="shared" ca="1" si="64"/>
        <v>0</v>
      </c>
      <c r="X150" s="154">
        <f t="shared" ca="1" si="65"/>
        <v>0</v>
      </c>
      <c r="Y150" s="155" t="s">
        <v>244</v>
      </c>
      <c r="Z150" t="str">
        <f t="shared" ca="1" si="66"/>
        <v/>
      </c>
      <c r="AA150" s="156">
        <f ca="1">IF($C150="S",IF($Z150="CP",$X150,IF($Z150="RA",(($X150)*QCI!$AA$3),0)),SomaAgrup)</f>
        <v>0</v>
      </c>
      <c r="AB150" s="157">
        <f t="shared" ca="1" si="67"/>
        <v>0</v>
      </c>
      <c r="AC150" s="158" t="str">
        <f t="shared" ca="1" si="68"/>
        <v/>
      </c>
      <c r="AD150" s="104" t="str">
        <f ca="1">IF(C150&lt;=CRONO.NivelExibicao,MAX($AD$15:OFFSET(AD150,-1,0))+IF($C150&lt;&gt;1,1,MAX(1,COUNTIF(QCI!$A$13:$A$24,OFFSET($E150,-1,0)))),"")</f>
        <v/>
      </c>
      <c r="AE150" s="114" t="b">
        <f t="shared" ca="1" si="69"/>
        <v>0</v>
      </c>
      <c r="AF150" s="159" t="str">
        <f t="shared" ca="1" si="70"/>
        <v>(abra o arquivo 'Referência 05-2023.xls)</v>
      </c>
      <c r="AG150" s="549">
        <f t="shared" ca="1" si="71"/>
        <v>0</v>
      </c>
      <c r="AH150" s="550">
        <f t="shared" ca="1" si="72"/>
        <v>0.25</v>
      </c>
      <c r="AJ150" s="552"/>
      <c r="AL150" s="573"/>
      <c r="AM150" s="430">
        <f t="shared" ca="1" si="73"/>
        <v>0</v>
      </c>
      <c r="AN150" s="616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4</v>
      </c>
      <c r="G151">
        <f t="shared" ca="1" si="55"/>
        <v>0</v>
      </c>
      <c r="H151">
        <f t="shared" ca="1" si="56"/>
        <v>0</v>
      </c>
      <c r="I151">
        <f t="shared" ca="1" si="57"/>
        <v>1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3" t="str">
        <f t="shared" ca="1" si="59"/>
        <v/>
      </c>
      <c r="M151" s="144" t="s">
        <v>198</v>
      </c>
      <c r="N151" s="145" t="str">
        <f t="shared" ca="1" si="60"/>
        <v>Serviço</v>
      </c>
      <c r="O151" s="146" t="str">
        <f t="shared" ca="1" si="61"/>
        <v>-</v>
      </c>
      <c r="P151" s="147" t="s">
        <v>246</v>
      </c>
      <c r="Q151" s="148"/>
      <c r="R151" s="149" t="str">
        <f t="shared" ca="1" si="62"/>
        <v>(abra o arquivo 'Referência 05-2023.xls)</v>
      </c>
      <c r="S151" s="150" t="str">
        <f t="shared" ca="1" si="63"/>
        <v>-</v>
      </c>
      <c r="T151" s="151">
        <f ca="1">OFFSET(CÁLCULO!H$15,ROW($T151)-ROW(T$15),0)</f>
        <v>0</v>
      </c>
      <c r="U151" s="152"/>
      <c r="V151" s="153" t="s">
        <v>155</v>
      </c>
      <c r="W151" s="151">
        <f t="shared" ca="1" si="64"/>
        <v>0</v>
      </c>
      <c r="X151" s="154">
        <f t="shared" ca="1" si="65"/>
        <v>0</v>
      </c>
      <c r="Y151" s="155" t="s">
        <v>244</v>
      </c>
      <c r="Z151" t="str">
        <f t="shared" ca="1" si="66"/>
        <v/>
      </c>
      <c r="AA151" s="156">
        <f ca="1">IF($C151="S",IF($Z151="CP",$X151,IF($Z151="RA",(($X151)*QCI!$AA$3),0)),SomaAgrup)</f>
        <v>0</v>
      </c>
      <c r="AB151" s="157">
        <f t="shared" ca="1" si="67"/>
        <v>0</v>
      </c>
      <c r="AC151" s="158" t="str">
        <f t="shared" ca="1" si="68"/>
        <v/>
      </c>
      <c r="AD151" s="104" t="str">
        <f ca="1">IF(C151&lt;=CRONO.NivelExibicao,MAX($AD$15:OFFSET(AD151,-1,0))+IF($C151&lt;&gt;1,1,MAX(1,COUNTIF(QCI!$A$13:$A$24,OFFSET($E151,-1,0)))),"")</f>
        <v/>
      </c>
      <c r="AE151" s="114" t="b">
        <f t="shared" ca="1" si="69"/>
        <v>0</v>
      </c>
      <c r="AF151" s="159" t="str">
        <f t="shared" ca="1" si="70"/>
        <v>(abra o arquivo 'Referência 05-2023.xls)</v>
      </c>
      <c r="AG151" s="549">
        <f t="shared" ca="1" si="71"/>
        <v>0</v>
      </c>
      <c r="AH151" s="550">
        <f t="shared" ca="1" si="72"/>
        <v>0.25</v>
      </c>
      <c r="AJ151" s="552"/>
      <c r="AL151" s="573"/>
      <c r="AM151" s="430">
        <f t="shared" ca="1" si="73"/>
        <v>0</v>
      </c>
      <c r="AN151" s="616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4</v>
      </c>
      <c r="G152">
        <f t="shared" ca="1" si="55"/>
        <v>0</v>
      </c>
      <c r="H152">
        <f t="shared" ca="1" si="56"/>
        <v>0</v>
      </c>
      <c r="I152">
        <f t="shared" ca="1" si="57"/>
        <v>1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3" t="str">
        <f t="shared" ca="1" si="59"/>
        <v/>
      </c>
      <c r="M152" s="144" t="s">
        <v>198</v>
      </c>
      <c r="N152" s="145" t="str">
        <f t="shared" ca="1" si="60"/>
        <v>Serviço</v>
      </c>
      <c r="O152" s="146" t="str">
        <f t="shared" ca="1" si="61"/>
        <v>-</v>
      </c>
      <c r="P152" s="147" t="s">
        <v>246</v>
      </c>
      <c r="Q152" s="148"/>
      <c r="R152" s="149" t="str">
        <f t="shared" ca="1" si="62"/>
        <v>(abra o arquivo 'Referência 05-2023.xls)</v>
      </c>
      <c r="S152" s="150" t="str">
        <f t="shared" ca="1" si="63"/>
        <v>-</v>
      </c>
      <c r="T152" s="151">
        <f ca="1">OFFSET(CÁLCULO!H$15,ROW($T152)-ROW(T$15),0)</f>
        <v>0</v>
      </c>
      <c r="U152" s="152"/>
      <c r="V152" s="153" t="s">
        <v>155</v>
      </c>
      <c r="W152" s="151">
        <f t="shared" ca="1" si="64"/>
        <v>0</v>
      </c>
      <c r="X152" s="154">
        <f t="shared" ca="1" si="65"/>
        <v>0</v>
      </c>
      <c r="Y152" s="155" t="s">
        <v>244</v>
      </c>
      <c r="Z152" t="str">
        <f t="shared" ca="1" si="66"/>
        <v/>
      </c>
      <c r="AA152" s="156">
        <f ca="1">IF($C152="S",IF($Z152="CP",$X152,IF($Z152="RA",(($X152)*QCI!$AA$3),0)),SomaAgrup)</f>
        <v>0</v>
      </c>
      <c r="AB152" s="157">
        <f t="shared" ca="1" si="67"/>
        <v>0</v>
      </c>
      <c r="AC152" s="158" t="str">
        <f t="shared" ca="1" si="68"/>
        <v/>
      </c>
      <c r="AD152" s="104" t="str">
        <f ca="1">IF(C152&lt;=CRONO.NivelExibicao,MAX($AD$15:OFFSET(AD152,-1,0))+IF($C152&lt;&gt;1,1,MAX(1,COUNTIF(QCI!$A$13:$A$24,OFFSET($E152,-1,0)))),"")</f>
        <v/>
      </c>
      <c r="AE152" s="114" t="b">
        <f t="shared" ca="1" si="69"/>
        <v>0</v>
      </c>
      <c r="AF152" s="159" t="str">
        <f t="shared" ca="1" si="70"/>
        <v>(abra o arquivo 'Referência 05-2023.xls)</v>
      </c>
      <c r="AG152" s="549">
        <f t="shared" ca="1" si="71"/>
        <v>0</v>
      </c>
      <c r="AH152" s="550">
        <f t="shared" ca="1" si="72"/>
        <v>0.25</v>
      </c>
      <c r="AJ152" s="552"/>
      <c r="AL152" s="573"/>
      <c r="AM152" s="430">
        <f t="shared" ca="1" si="73"/>
        <v>0</v>
      </c>
      <c r="AN152" s="616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4</v>
      </c>
      <c r="G153">
        <f t="shared" ca="1" si="55"/>
        <v>0</v>
      </c>
      <c r="H153">
        <f t="shared" ca="1" si="56"/>
        <v>0</v>
      </c>
      <c r="I153">
        <f t="shared" ca="1" si="57"/>
        <v>1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3" t="str">
        <f t="shared" ca="1" si="59"/>
        <v/>
      </c>
      <c r="M153" s="144" t="s">
        <v>198</v>
      </c>
      <c r="N153" s="145" t="str">
        <f t="shared" ca="1" si="60"/>
        <v>Serviço</v>
      </c>
      <c r="O153" s="146" t="str">
        <f t="shared" ca="1" si="61"/>
        <v>-</v>
      </c>
      <c r="P153" s="147" t="s">
        <v>246</v>
      </c>
      <c r="Q153" s="148"/>
      <c r="R153" s="149" t="str">
        <f t="shared" ca="1" si="62"/>
        <v>(abra o arquivo 'Referência 05-2023.xls)</v>
      </c>
      <c r="S153" s="150" t="str">
        <f t="shared" ca="1" si="63"/>
        <v>-</v>
      </c>
      <c r="T153" s="151">
        <f ca="1">OFFSET(CÁLCULO!H$15,ROW($T153)-ROW(T$15),0)</f>
        <v>0</v>
      </c>
      <c r="U153" s="152"/>
      <c r="V153" s="153" t="s">
        <v>155</v>
      </c>
      <c r="W153" s="151">
        <f t="shared" ca="1" si="64"/>
        <v>0</v>
      </c>
      <c r="X153" s="154">
        <f t="shared" ca="1" si="65"/>
        <v>0</v>
      </c>
      <c r="Y153" s="155" t="s">
        <v>244</v>
      </c>
      <c r="Z153" t="str">
        <f t="shared" ca="1" si="66"/>
        <v/>
      </c>
      <c r="AA153" s="156">
        <f ca="1">IF($C153="S",IF($Z153="CP",$X153,IF($Z153="RA",(($X153)*QCI!$AA$3),0)),SomaAgrup)</f>
        <v>0</v>
      </c>
      <c r="AB153" s="157">
        <f t="shared" ca="1" si="67"/>
        <v>0</v>
      </c>
      <c r="AC153" s="158" t="str">
        <f t="shared" ca="1" si="68"/>
        <v/>
      </c>
      <c r="AD153" s="104" t="str">
        <f ca="1">IF(C153&lt;=CRONO.NivelExibicao,MAX($AD$15:OFFSET(AD153,-1,0))+IF($C153&lt;&gt;1,1,MAX(1,COUNTIF(QCI!$A$13:$A$24,OFFSET($E153,-1,0)))),"")</f>
        <v/>
      </c>
      <c r="AE153" s="114" t="b">
        <f t="shared" ca="1" si="69"/>
        <v>0</v>
      </c>
      <c r="AF153" s="159" t="str">
        <f t="shared" ca="1" si="70"/>
        <v>(abra o arquivo 'Referência 05-2023.xls)</v>
      </c>
      <c r="AG153" s="549">
        <f t="shared" ca="1" si="71"/>
        <v>0</v>
      </c>
      <c r="AH153" s="550">
        <f t="shared" ca="1" si="72"/>
        <v>0.25</v>
      </c>
      <c r="AJ153" s="552"/>
      <c r="AL153" s="573"/>
      <c r="AM153" s="430">
        <f t="shared" ca="1" si="73"/>
        <v>0</v>
      </c>
      <c r="AN153" s="616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4</v>
      </c>
      <c r="G154">
        <f t="shared" ca="1" si="55"/>
        <v>0</v>
      </c>
      <c r="H154">
        <f t="shared" ca="1" si="56"/>
        <v>0</v>
      </c>
      <c r="I154">
        <f t="shared" ca="1" si="57"/>
        <v>1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3" t="str">
        <f t="shared" ca="1" si="59"/>
        <v/>
      </c>
      <c r="M154" s="144" t="s">
        <v>198</v>
      </c>
      <c r="N154" s="145" t="str">
        <f t="shared" ca="1" si="60"/>
        <v>Serviço</v>
      </c>
      <c r="O154" s="146" t="str">
        <f t="shared" ca="1" si="61"/>
        <v>-</v>
      </c>
      <c r="P154" s="147" t="s">
        <v>246</v>
      </c>
      <c r="Q154" s="148"/>
      <c r="R154" s="149" t="str">
        <f t="shared" ca="1" si="62"/>
        <v>(abra o arquivo 'Referência 05-2023.xls)</v>
      </c>
      <c r="S154" s="150" t="str">
        <f t="shared" ca="1" si="63"/>
        <v>-</v>
      </c>
      <c r="T154" s="151">
        <f ca="1">OFFSET(CÁLCULO!H$15,ROW($T154)-ROW(T$15),0)</f>
        <v>0</v>
      </c>
      <c r="U154" s="152"/>
      <c r="V154" s="153" t="s">
        <v>155</v>
      </c>
      <c r="W154" s="151">
        <f t="shared" ca="1" si="64"/>
        <v>0</v>
      </c>
      <c r="X154" s="154">
        <f t="shared" ca="1" si="65"/>
        <v>0</v>
      </c>
      <c r="Y154" s="155" t="s">
        <v>244</v>
      </c>
      <c r="Z154" t="str">
        <f t="shared" ca="1" si="66"/>
        <v/>
      </c>
      <c r="AA154" s="156">
        <f ca="1">IF($C154="S",IF($Z154="CP",$X154,IF($Z154="RA",(($X154)*QCI!$AA$3),0)),SomaAgrup)</f>
        <v>0</v>
      </c>
      <c r="AB154" s="157">
        <f t="shared" ca="1" si="67"/>
        <v>0</v>
      </c>
      <c r="AC154" s="158" t="str">
        <f t="shared" ca="1" si="68"/>
        <v/>
      </c>
      <c r="AD154" s="104" t="str">
        <f ca="1">IF(C154&lt;=CRONO.NivelExibicao,MAX($AD$15:OFFSET(AD154,-1,0))+IF($C154&lt;&gt;1,1,MAX(1,COUNTIF(QCI!$A$13:$A$24,OFFSET($E154,-1,0)))),"")</f>
        <v/>
      </c>
      <c r="AE154" s="114" t="b">
        <f t="shared" ca="1" si="69"/>
        <v>0</v>
      </c>
      <c r="AF154" s="159" t="str">
        <f t="shared" ca="1" si="70"/>
        <v>(abra o arquivo 'Referência 05-2023.xls)</v>
      </c>
      <c r="AG154" s="549">
        <f t="shared" ca="1" si="71"/>
        <v>0</v>
      </c>
      <c r="AH154" s="550">
        <f t="shared" ca="1" si="72"/>
        <v>0.25</v>
      </c>
      <c r="AJ154" s="552"/>
      <c r="AL154" s="573"/>
      <c r="AM154" s="430">
        <f t="shared" ca="1" si="73"/>
        <v>0</v>
      </c>
      <c r="AN154" s="616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4</v>
      </c>
      <c r="G155">
        <f t="shared" ca="1" si="55"/>
        <v>0</v>
      </c>
      <c r="H155">
        <f t="shared" ca="1" si="56"/>
        <v>0</v>
      </c>
      <c r="I155">
        <f t="shared" ca="1" si="57"/>
        <v>1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3" t="str">
        <f t="shared" ca="1" si="59"/>
        <v/>
      </c>
      <c r="M155" s="144" t="s">
        <v>198</v>
      </c>
      <c r="N155" s="145" t="str">
        <f t="shared" ca="1" si="60"/>
        <v>Serviço</v>
      </c>
      <c r="O155" s="146" t="str">
        <f t="shared" ca="1" si="61"/>
        <v>-</v>
      </c>
      <c r="P155" s="147" t="s">
        <v>246</v>
      </c>
      <c r="Q155" s="148"/>
      <c r="R155" s="149" t="str">
        <f t="shared" ca="1" si="62"/>
        <v>(abra o arquivo 'Referência 05-2023.xls)</v>
      </c>
      <c r="S155" s="150" t="str">
        <f t="shared" ca="1" si="63"/>
        <v>-</v>
      </c>
      <c r="T155" s="151">
        <f ca="1">OFFSET(CÁLCULO!H$15,ROW($T155)-ROW(T$15),0)</f>
        <v>0</v>
      </c>
      <c r="U155" s="152"/>
      <c r="V155" s="153" t="s">
        <v>155</v>
      </c>
      <c r="W155" s="151">
        <f t="shared" ca="1" si="64"/>
        <v>0</v>
      </c>
      <c r="X155" s="154">
        <f t="shared" ca="1" si="65"/>
        <v>0</v>
      </c>
      <c r="Y155" s="155" t="s">
        <v>244</v>
      </c>
      <c r="Z155" t="str">
        <f t="shared" ca="1" si="66"/>
        <v/>
      </c>
      <c r="AA155" s="156">
        <f ca="1">IF($C155="S",IF($Z155="CP",$X155,IF($Z155="RA",(($X155)*QCI!$AA$3),0)),SomaAgrup)</f>
        <v>0</v>
      </c>
      <c r="AB155" s="157">
        <f t="shared" ca="1" si="67"/>
        <v>0</v>
      </c>
      <c r="AC155" s="158" t="str">
        <f t="shared" ca="1" si="68"/>
        <v/>
      </c>
      <c r="AD155" s="104" t="str">
        <f ca="1">IF(C155&lt;=CRONO.NivelExibicao,MAX($AD$15:OFFSET(AD155,-1,0))+IF($C155&lt;&gt;1,1,MAX(1,COUNTIF(QCI!$A$13:$A$24,OFFSET($E155,-1,0)))),"")</f>
        <v/>
      </c>
      <c r="AE155" s="114" t="b">
        <f t="shared" ca="1" si="69"/>
        <v>0</v>
      </c>
      <c r="AF155" s="159" t="str">
        <f t="shared" ca="1" si="70"/>
        <v>(abra o arquivo 'Referência 05-2023.xls)</v>
      </c>
      <c r="AG155" s="549">
        <f t="shared" ca="1" si="71"/>
        <v>0</v>
      </c>
      <c r="AH155" s="550">
        <f t="shared" ca="1" si="72"/>
        <v>0.25</v>
      </c>
      <c r="AJ155" s="552"/>
      <c r="AL155" s="573"/>
      <c r="AM155" s="430">
        <f t="shared" ca="1" si="73"/>
        <v>0</v>
      </c>
      <c r="AN155" s="616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4</v>
      </c>
      <c r="G156">
        <f t="shared" ca="1" si="55"/>
        <v>0</v>
      </c>
      <c r="H156">
        <f t="shared" ca="1" si="56"/>
        <v>0</v>
      </c>
      <c r="I156">
        <f t="shared" ca="1" si="57"/>
        <v>1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3" t="str">
        <f t="shared" ca="1" si="59"/>
        <v/>
      </c>
      <c r="M156" s="144" t="s">
        <v>198</v>
      </c>
      <c r="N156" s="145" t="str">
        <f t="shared" ca="1" si="60"/>
        <v>Serviço</v>
      </c>
      <c r="O156" s="146" t="str">
        <f t="shared" ca="1" si="61"/>
        <v>-</v>
      </c>
      <c r="P156" s="147" t="s">
        <v>246</v>
      </c>
      <c r="Q156" s="148"/>
      <c r="R156" s="149" t="str">
        <f t="shared" ca="1" si="62"/>
        <v>(abra o arquivo 'Referência 05-2023.xls)</v>
      </c>
      <c r="S156" s="150" t="str">
        <f t="shared" ca="1" si="63"/>
        <v>-</v>
      </c>
      <c r="T156" s="151">
        <f ca="1">OFFSET(CÁLCULO!H$15,ROW($T156)-ROW(T$15),0)</f>
        <v>0</v>
      </c>
      <c r="U156" s="152"/>
      <c r="V156" s="153" t="s">
        <v>155</v>
      </c>
      <c r="W156" s="151">
        <f t="shared" ca="1" si="64"/>
        <v>0</v>
      </c>
      <c r="X156" s="154">
        <f t="shared" ca="1" si="65"/>
        <v>0</v>
      </c>
      <c r="Y156" s="155" t="s">
        <v>244</v>
      </c>
      <c r="Z156" t="str">
        <f t="shared" ca="1" si="66"/>
        <v/>
      </c>
      <c r="AA156" s="156">
        <f ca="1">IF($C156="S",IF($Z156="CP",$X156,IF($Z156="RA",(($X156)*QCI!$AA$3),0)),SomaAgrup)</f>
        <v>0</v>
      </c>
      <c r="AB156" s="157">
        <f t="shared" ca="1" si="67"/>
        <v>0</v>
      </c>
      <c r="AC156" s="158" t="str">
        <f t="shared" ca="1" si="68"/>
        <v/>
      </c>
      <c r="AD156" s="104" t="str">
        <f ca="1">IF(C156&lt;=CRONO.NivelExibicao,MAX($AD$15:OFFSET(AD156,-1,0))+IF($C156&lt;&gt;1,1,MAX(1,COUNTIF(QCI!$A$13:$A$24,OFFSET($E156,-1,0)))),"")</f>
        <v/>
      </c>
      <c r="AE156" s="114" t="b">
        <f t="shared" ca="1" si="69"/>
        <v>0</v>
      </c>
      <c r="AF156" s="159" t="str">
        <f t="shared" ca="1" si="70"/>
        <v>(abra o arquivo 'Referência 05-2023.xls)</v>
      </c>
      <c r="AG156" s="549">
        <f t="shared" ca="1" si="71"/>
        <v>0</v>
      </c>
      <c r="AH156" s="550">
        <f t="shared" ca="1" si="72"/>
        <v>0.25</v>
      </c>
      <c r="AJ156" s="552"/>
      <c r="AL156" s="573"/>
      <c r="AM156" s="430">
        <f t="shared" ca="1" si="73"/>
        <v>0</v>
      </c>
      <c r="AN156" s="616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1</v>
      </c>
      <c r="F157">
        <f t="shared" ca="1" si="54"/>
        <v>4</v>
      </c>
      <c r="G157">
        <f t="shared" ca="1" si="55"/>
        <v>0</v>
      </c>
      <c r="H157">
        <f t="shared" ca="1" si="56"/>
        <v>0</v>
      </c>
      <c r="I157">
        <f t="shared" ca="1" si="57"/>
        <v>1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3" t="str">
        <f t="shared" ca="1" si="59"/>
        <v/>
      </c>
      <c r="M157" s="144" t="s">
        <v>198</v>
      </c>
      <c r="N157" s="145" t="str">
        <f t="shared" ca="1" si="60"/>
        <v>Serviço</v>
      </c>
      <c r="O157" s="146" t="str">
        <f t="shared" ca="1" si="61"/>
        <v>-</v>
      </c>
      <c r="P157" s="147" t="s">
        <v>246</v>
      </c>
      <c r="Q157" s="148"/>
      <c r="R157" s="149" t="str">
        <f t="shared" ca="1" si="62"/>
        <v>(abra o arquivo 'Referência 05-2023.xls)</v>
      </c>
      <c r="S157" s="150" t="str">
        <f t="shared" ca="1" si="63"/>
        <v>-</v>
      </c>
      <c r="T157" s="151">
        <f ca="1">OFFSET(CÁLCULO!H$15,ROW($T157)-ROW(T$15),0)</f>
        <v>0</v>
      </c>
      <c r="U157" s="152"/>
      <c r="V157" s="153" t="s">
        <v>155</v>
      </c>
      <c r="W157" s="151">
        <f t="shared" ca="1" si="64"/>
        <v>0</v>
      </c>
      <c r="X157" s="154">
        <f t="shared" ca="1" si="65"/>
        <v>0</v>
      </c>
      <c r="Y157" s="155" t="s">
        <v>244</v>
      </c>
      <c r="Z157" t="str">
        <f t="shared" ca="1" si="66"/>
        <v/>
      </c>
      <c r="AA157" s="156">
        <f ca="1">IF($C157="S",IF($Z157="CP",$X157,IF($Z157="RA",(($X157)*QCI!$AA$3),0)),SomaAgrup)</f>
        <v>0</v>
      </c>
      <c r="AB157" s="157">
        <f t="shared" ca="1" si="67"/>
        <v>0</v>
      </c>
      <c r="AC157" s="158" t="str">
        <f t="shared" ca="1" si="68"/>
        <v/>
      </c>
      <c r="AD157" s="104" t="str">
        <f ca="1">IF(C157&lt;=CRONO.NivelExibicao,MAX($AD$15:OFFSET(AD157,-1,0))+IF($C157&lt;&gt;1,1,MAX(1,COUNTIF(QCI!$A$13:$A$24,OFFSET($E157,-1,0)))),"")</f>
        <v/>
      </c>
      <c r="AE157" s="114" t="b">
        <f t="shared" ca="1" si="69"/>
        <v>0</v>
      </c>
      <c r="AF157" s="159" t="str">
        <f t="shared" ca="1" si="70"/>
        <v>(abra o arquivo 'Referência 05-2023.xls)</v>
      </c>
      <c r="AG157" s="549">
        <f t="shared" ca="1" si="71"/>
        <v>0</v>
      </c>
      <c r="AH157" s="550">
        <f t="shared" ca="1" si="72"/>
        <v>0.25</v>
      </c>
      <c r="AJ157" s="552"/>
      <c r="AL157" s="573"/>
      <c r="AM157" s="430">
        <f t="shared" ca="1" si="73"/>
        <v>0</v>
      </c>
      <c r="AN157" s="616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4</v>
      </c>
      <c r="G158">
        <f t="shared" ca="1" si="55"/>
        <v>0</v>
      </c>
      <c r="H158">
        <f t="shared" ca="1" si="56"/>
        <v>0</v>
      </c>
      <c r="I158">
        <f t="shared" ca="1" si="57"/>
        <v>1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3" t="str">
        <f t="shared" ca="1" si="59"/>
        <v/>
      </c>
      <c r="M158" s="144" t="s">
        <v>198</v>
      </c>
      <c r="N158" s="145" t="str">
        <f t="shared" ca="1" si="60"/>
        <v>Serviço</v>
      </c>
      <c r="O158" s="146" t="str">
        <f t="shared" ca="1" si="61"/>
        <v>-</v>
      </c>
      <c r="P158" s="147" t="s">
        <v>246</v>
      </c>
      <c r="Q158" s="148"/>
      <c r="R158" s="149" t="str">
        <f t="shared" ca="1" si="62"/>
        <v>(abra o arquivo 'Referência 05-2023.xls)</v>
      </c>
      <c r="S158" s="150" t="str">
        <f t="shared" ca="1" si="63"/>
        <v>-</v>
      </c>
      <c r="T158" s="151">
        <f ca="1">OFFSET(CÁLCULO!H$15,ROW($T158)-ROW(T$15),0)</f>
        <v>0</v>
      </c>
      <c r="U158" s="152"/>
      <c r="V158" s="153" t="s">
        <v>155</v>
      </c>
      <c r="W158" s="151">
        <f t="shared" ca="1" si="64"/>
        <v>0</v>
      </c>
      <c r="X158" s="154">
        <f t="shared" ca="1" si="65"/>
        <v>0</v>
      </c>
      <c r="Y158" s="155" t="s">
        <v>244</v>
      </c>
      <c r="Z158" t="str">
        <f t="shared" ca="1" si="66"/>
        <v/>
      </c>
      <c r="AA158" s="156">
        <f ca="1">IF($C158="S",IF($Z158="CP",$X158,IF($Z158="RA",(($X158)*QCI!$AA$3),0)),SomaAgrup)</f>
        <v>0</v>
      </c>
      <c r="AB158" s="157">
        <f t="shared" ca="1" si="67"/>
        <v>0</v>
      </c>
      <c r="AC158" s="158" t="str">
        <f t="shared" ca="1" si="68"/>
        <v/>
      </c>
      <c r="AD158" s="104" t="str">
        <f ca="1">IF(C158&lt;=CRONO.NivelExibicao,MAX($AD$15:OFFSET(AD158,-1,0))+IF($C158&lt;&gt;1,1,MAX(1,COUNTIF(QCI!$A$13:$A$24,OFFSET($E158,-1,0)))),"")</f>
        <v/>
      </c>
      <c r="AE158" s="114" t="b">
        <f t="shared" ca="1" si="69"/>
        <v>0</v>
      </c>
      <c r="AF158" s="159" t="str">
        <f t="shared" ca="1" si="70"/>
        <v>(abra o arquivo 'Referência 05-2023.xls)</v>
      </c>
      <c r="AG158" s="549">
        <f t="shared" ca="1" si="71"/>
        <v>0</v>
      </c>
      <c r="AH158" s="550">
        <f t="shared" ca="1" si="72"/>
        <v>0.25</v>
      </c>
      <c r="AJ158" s="552"/>
      <c r="AL158" s="573"/>
      <c r="AM158" s="430">
        <f t="shared" ca="1" si="73"/>
        <v>0</v>
      </c>
      <c r="AN158" s="616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4</v>
      </c>
      <c r="G159">
        <f t="shared" ca="1" si="55"/>
        <v>0</v>
      </c>
      <c r="H159">
        <f t="shared" ca="1" si="56"/>
        <v>0</v>
      </c>
      <c r="I159">
        <f t="shared" ca="1" si="57"/>
        <v>1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3" t="str">
        <f t="shared" ca="1" si="59"/>
        <v/>
      </c>
      <c r="M159" s="144" t="s">
        <v>198</v>
      </c>
      <c r="N159" s="145" t="str">
        <f t="shared" ca="1" si="60"/>
        <v>Serviço</v>
      </c>
      <c r="O159" s="146" t="str">
        <f t="shared" ca="1" si="61"/>
        <v>-</v>
      </c>
      <c r="P159" s="147" t="s">
        <v>246</v>
      </c>
      <c r="Q159" s="148"/>
      <c r="R159" s="149" t="str">
        <f t="shared" ca="1" si="62"/>
        <v>(abra o arquivo 'Referência 05-2023.xls)</v>
      </c>
      <c r="S159" s="150" t="str">
        <f t="shared" ca="1" si="63"/>
        <v>-</v>
      </c>
      <c r="T159" s="151">
        <f ca="1">OFFSET(CÁLCULO!H$15,ROW($T159)-ROW(T$15),0)</f>
        <v>0</v>
      </c>
      <c r="U159" s="152"/>
      <c r="V159" s="153" t="s">
        <v>155</v>
      </c>
      <c r="W159" s="151">
        <f t="shared" ca="1" si="64"/>
        <v>0</v>
      </c>
      <c r="X159" s="154">
        <f t="shared" ca="1" si="65"/>
        <v>0</v>
      </c>
      <c r="Y159" s="155" t="s">
        <v>244</v>
      </c>
      <c r="Z159" t="str">
        <f t="shared" ca="1" si="66"/>
        <v/>
      </c>
      <c r="AA159" s="156">
        <f ca="1">IF($C159="S",IF($Z159="CP",$X159,IF($Z159="RA",(($X159)*QCI!$AA$3),0)),SomaAgrup)</f>
        <v>0</v>
      </c>
      <c r="AB159" s="157">
        <f t="shared" ca="1" si="67"/>
        <v>0</v>
      </c>
      <c r="AC159" s="158" t="str">
        <f t="shared" ca="1" si="68"/>
        <v/>
      </c>
      <c r="AD159" s="104" t="str">
        <f ca="1">IF(C159&lt;=CRONO.NivelExibicao,MAX($AD$15:OFFSET(AD159,-1,0))+IF($C159&lt;&gt;1,1,MAX(1,COUNTIF(QCI!$A$13:$A$24,OFFSET($E159,-1,0)))),"")</f>
        <v/>
      </c>
      <c r="AE159" s="114" t="b">
        <f t="shared" ca="1" si="69"/>
        <v>0</v>
      </c>
      <c r="AF159" s="159" t="str">
        <f t="shared" ca="1" si="70"/>
        <v>(abra o arquivo 'Referência 05-2023.xls)</v>
      </c>
      <c r="AG159" s="549">
        <f t="shared" ca="1" si="71"/>
        <v>0</v>
      </c>
      <c r="AH159" s="550">
        <f t="shared" ca="1" si="72"/>
        <v>0.25</v>
      </c>
      <c r="AJ159" s="552"/>
      <c r="AL159" s="573"/>
      <c r="AM159" s="430">
        <f t="shared" ca="1" si="73"/>
        <v>0</v>
      </c>
      <c r="AN159" s="616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4</v>
      </c>
      <c r="G160">
        <f t="shared" ca="1" si="55"/>
        <v>0</v>
      </c>
      <c r="H160">
        <f t="shared" ca="1" si="56"/>
        <v>0</v>
      </c>
      <c r="I160">
        <f t="shared" ca="1" si="57"/>
        <v>1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3" t="str">
        <f t="shared" ca="1" si="59"/>
        <v/>
      </c>
      <c r="M160" s="144" t="s">
        <v>198</v>
      </c>
      <c r="N160" s="145" t="str">
        <f t="shared" ca="1" si="60"/>
        <v>Serviço</v>
      </c>
      <c r="O160" s="146" t="str">
        <f t="shared" ca="1" si="61"/>
        <v>-</v>
      </c>
      <c r="P160" s="147" t="s">
        <v>246</v>
      </c>
      <c r="Q160" s="148"/>
      <c r="R160" s="149" t="str">
        <f t="shared" ca="1" si="62"/>
        <v>(abra o arquivo 'Referência 05-2023.xls)</v>
      </c>
      <c r="S160" s="150" t="str">
        <f t="shared" ca="1" si="63"/>
        <v>-</v>
      </c>
      <c r="T160" s="151">
        <f ca="1">OFFSET(CÁLCULO!H$15,ROW($T160)-ROW(T$15),0)</f>
        <v>0</v>
      </c>
      <c r="U160" s="152"/>
      <c r="V160" s="153" t="s">
        <v>155</v>
      </c>
      <c r="W160" s="151">
        <f t="shared" ca="1" si="64"/>
        <v>0</v>
      </c>
      <c r="X160" s="154">
        <f t="shared" ca="1" si="65"/>
        <v>0</v>
      </c>
      <c r="Y160" s="155" t="s">
        <v>244</v>
      </c>
      <c r="Z160" t="str">
        <f t="shared" ca="1" si="66"/>
        <v/>
      </c>
      <c r="AA160" s="156">
        <f ca="1">IF($C160="S",IF($Z160="CP",$X160,IF($Z160="RA",(($X160)*QCI!$AA$3),0)),SomaAgrup)</f>
        <v>0</v>
      </c>
      <c r="AB160" s="157">
        <f t="shared" ca="1" si="67"/>
        <v>0</v>
      </c>
      <c r="AC160" s="158" t="str">
        <f t="shared" ca="1" si="68"/>
        <v/>
      </c>
      <c r="AD160" s="104" t="str">
        <f ca="1">IF(C160&lt;=CRONO.NivelExibicao,MAX($AD$15:OFFSET(AD160,-1,0))+IF($C160&lt;&gt;1,1,MAX(1,COUNTIF(QCI!$A$13:$A$24,OFFSET($E160,-1,0)))),"")</f>
        <v/>
      </c>
      <c r="AE160" s="114" t="b">
        <f t="shared" ca="1" si="69"/>
        <v>0</v>
      </c>
      <c r="AF160" s="159" t="str">
        <f t="shared" ca="1" si="70"/>
        <v>(abra o arquivo 'Referência 05-2023.xls)</v>
      </c>
      <c r="AG160" s="549">
        <f t="shared" ca="1" si="71"/>
        <v>0</v>
      </c>
      <c r="AH160" s="550">
        <f t="shared" ca="1" si="72"/>
        <v>0.25</v>
      </c>
      <c r="AJ160" s="552"/>
      <c r="AL160" s="573"/>
      <c r="AM160" s="430">
        <f t="shared" ca="1" si="73"/>
        <v>0</v>
      </c>
      <c r="AN160" s="616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4</v>
      </c>
      <c r="G161">
        <f t="shared" ca="1" si="55"/>
        <v>0</v>
      </c>
      <c r="H161">
        <f t="shared" ca="1" si="56"/>
        <v>0</v>
      </c>
      <c r="I161">
        <f t="shared" ca="1" si="57"/>
        <v>1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3" t="str">
        <f t="shared" ca="1" si="59"/>
        <v/>
      </c>
      <c r="M161" s="144" t="s">
        <v>198</v>
      </c>
      <c r="N161" s="145" t="str">
        <f t="shared" ca="1" si="60"/>
        <v>Serviço</v>
      </c>
      <c r="O161" s="146" t="str">
        <f t="shared" ca="1" si="61"/>
        <v>-</v>
      </c>
      <c r="P161" s="147" t="s">
        <v>246</v>
      </c>
      <c r="Q161" s="148"/>
      <c r="R161" s="149" t="str">
        <f t="shared" ca="1" si="62"/>
        <v>(abra o arquivo 'Referência 05-2023.xls)</v>
      </c>
      <c r="S161" s="150" t="str">
        <f t="shared" ca="1" si="63"/>
        <v>-</v>
      </c>
      <c r="T161" s="151">
        <f ca="1">OFFSET(CÁLCULO!H$15,ROW($T161)-ROW(T$15),0)</f>
        <v>0</v>
      </c>
      <c r="U161" s="152"/>
      <c r="V161" s="153" t="s">
        <v>155</v>
      </c>
      <c r="W161" s="151">
        <f t="shared" ca="1" si="64"/>
        <v>0</v>
      </c>
      <c r="X161" s="154">
        <f t="shared" ca="1" si="65"/>
        <v>0</v>
      </c>
      <c r="Y161" s="155" t="s">
        <v>244</v>
      </c>
      <c r="Z161" t="str">
        <f t="shared" ca="1" si="66"/>
        <v/>
      </c>
      <c r="AA161" s="156">
        <f ca="1">IF($C161="S",IF($Z161="CP",$X161,IF($Z161="RA",(($X161)*QCI!$AA$3),0)),SomaAgrup)</f>
        <v>0</v>
      </c>
      <c r="AB161" s="157">
        <f t="shared" ca="1" si="67"/>
        <v>0</v>
      </c>
      <c r="AC161" s="158" t="str">
        <f t="shared" ca="1" si="68"/>
        <v/>
      </c>
      <c r="AD161" s="104" t="str">
        <f ca="1">IF(C161&lt;=CRONO.NivelExibicao,MAX($AD$15:OFFSET(AD161,-1,0))+IF($C161&lt;&gt;1,1,MAX(1,COUNTIF(QCI!$A$13:$A$24,OFFSET($E161,-1,0)))),"")</f>
        <v/>
      </c>
      <c r="AE161" s="114" t="b">
        <f t="shared" ca="1" si="69"/>
        <v>0</v>
      </c>
      <c r="AF161" s="159" t="str">
        <f t="shared" ca="1" si="70"/>
        <v>(abra o arquivo 'Referência 05-2023.xls)</v>
      </c>
      <c r="AG161" s="549">
        <f t="shared" ca="1" si="71"/>
        <v>0</v>
      </c>
      <c r="AH161" s="550">
        <f t="shared" ca="1" si="72"/>
        <v>0.25</v>
      </c>
      <c r="AJ161" s="552"/>
      <c r="AL161" s="573"/>
      <c r="AM161" s="430">
        <f t="shared" ca="1" si="73"/>
        <v>0</v>
      </c>
      <c r="AN161" s="616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4</v>
      </c>
      <c r="G162">
        <f t="shared" ca="1" si="55"/>
        <v>0</v>
      </c>
      <c r="H162">
        <f t="shared" ca="1" si="56"/>
        <v>0</v>
      </c>
      <c r="I162">
        <f t="shared" ca="1" si="57"/>
        <v>1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3" t="str">
        <f t="shared" ca="1" si="59"/>
        <v/>
      </c>
      <c r="M162" s="144" t="s">
        <v>198</v>
      </c>
      <c r="N162" s="145" t="str">
        <f t="shared" ca="1" si="60"/>
        <v>Serviço</v>
      </c>
      <c r="O162" s="146" t="str">
        <f t="shared" ca="1" si="61"/>
        <v>-</v>
      </c>
      <c r="P162" s="147" t="s">
        <v>246</v>
      </c>
      <c r="Q162" s="148"/>
      <c r="R162" s="149" t="str">
        <f t="shared" ca="1" si="62"/>
        <v>(abra o arquivo 'Referência 05-2023.xls)</v>
      </c>
      <c r="S162" s="150" t="str">
        <f t="shared" ca="1" si="63"/>
        <v>-</v>
      </c>
      <c r="T162" s="151">
        <f ca="1">OFFSET(CÁLCULO!H$15,ROW($T162)-ROW(T$15),0)</f>
        <v>0</v>
      </c>
      <c r="U162" s="152"/>
      <c r="V162" s="153" t="s">
        <v>155</v>
      </c>
      <c r="W162" s="151">
        <f t="shared" ca="1" si="64"/>
        <v>0</v>
      </c>
      <c r="X162" s="154">
        <f t="shared" ca="1" si="65"/>
        <v>0</v>
      </c>
      <c r="Y162" s="155" t="s">
        <v>244</v>
      </c>
      <c r="Z162" t="str">
        <f t="shared" ca="1" si="66"/>
        <v/>
      </c>
      <c r="AA162" s="156">
        <f ca="1">IF($C162="S",IF($Z162="CP",$X162,IF($Z162="RA",(($X162)*QCI!$AA$3),0)),SomaAgrup)</f>
        <v>0</v>
      </c>
      <c r="AB162" s="157">
        <f t="shared" ca="1" si="67"/>
        <v>0</v>
      </c>
      <c r="AC162" s="158" t="str">
        <f t="shared" ca="1" si="68"/>
        <v/>
      </c>
      <c r="AD162" s="104" t="str">
        <f ca="1">IF(C162&lt;=CRONO.NivelExibicao,MAX($AD$15:OFFSET(AD162,-1,0))+IF($C162&lt;&gt;1,1,MAX(1,COUNTIF(QCI!$A$13:$A$24,OFFSET($E162,-1,0)))),"")</f>
        <v/>
      </c>
      <c r="AE162" s="114" t="b">
        <f t="shared" ca="1" si="69"/>
        <v>0</v>
      </c>
      <c r="AF162" s="159" t="str">
        <f t="shared" ca="1" si="70"/>
        <v>(abra o arquivo 'Referência 05-2023.xls)</v>
      </c>
      <c r="AG162" s="549">
        <f t="shared" ca="1" si="71"/>
        <v>0</v>
      </c>
      <c r="AH162" s="550">
        <f t="shared" ca="1" si="72"/>
        <v>0.25</v>
      </c>
      <c r="AJ162" s="552"/>
      <c r="AL162" s="573"/>
      <c r="AM162" s="430">
        <f t="shared" ca="1" si="73"/>
        <v>0</v>
      </c>
      <c r="AN162" s="616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4</v>
      </c>
      <c r="G163">
        <f t="shared" ca="1" si="55"/>
        <v>0</v>
      </c>
      <c r="H163">
        <f t="shared" ca="1" si="56"/>
        <v>0</v>
      </c>
      <c r="I163">
        <f t="shared" ca="1" si="57"/>
        <v>1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3" t="str">
        <f t="shared" ca="1" si="59"/>
        <v/>
      </c>
      <c r="M163" s="144" t="s">
        <v>198</v>
      </c>
      <c r="N163" s="145" t="str">
        <f t="shared" ca="1" si="60"/>
        <v>Serviço</v>
      </c>
      <c r="O163" s="146" t="str">
        <f t="shared" ca="1" si="61"/>
        <v>-</v>
      </c>
      <c r="P163" s="147" t="s">
        <v>246</v>
      </c>
      <c r="Q163" s="148"/>
      <c r="R163" s="149" t="str">
        <f t="shared" ca="1" si="62"/>
        <v>(abra o arquivo 'Referência 05-2023.xls)</v>
      </c>
      <c r="S163" s="150" t="str">
        <f t="shared" ca="1" si="63"/>
        <v>-</v>
      </c>
      <c r="T163" s="151">
        <f ca="1">OFFSET(CÁLCULO!H$15,ROW($T163)-ROW(T$15),0)</f>
        <v>0</v>
      </c>
      <c r="U163" s="152"/>
      <c r="V163" s="153" t="s">
        <v>155</v>
      </c>
      <c r="W163" s="151">
        <f t="shared" ca="1" si="64"/>
        <v>0</v>
      </c>
      <c r="X163" s="154">
        <f t="shared" ca="1" si="65"/>
        <v>0</v>
      </c>
      <c r="Y163" s="155" t="s">
        <v>244</v>
      </c>
      <c r="Z163" t="str">
        <f t="shared" ca="1" si="66"/>
        <v/>
      </c>
      <c r="AA163" s="156">
        <f ca="1">IF($C163="S",IF($Z163="CP",$X163,IF($Z163="RA",(($X163)*QCI!$AA$3),0)),SomaAgrup)</f>
        <v>0</v>
      </c>
      <c r="AB163" s="157">
        <f t="shared" ca="1" si="67"/>
        <v>0</v>
      </c>
      <c r="AC163" s="158" t="str">
        <f t="shared" ca="1" si="68"/>
        <v/>
      </c>
      <c r="AD163" s="104" t="str">
        <f ca="1">IF(C163&lt;=CRONO.NivelExibicao,MAX($AD$15:OFFSET(AD163,-1,0))+IF($C163&lt;&gt;1,1,MAX(1,COUNTIF(QCI!$A$13:$A$24,OFFSET($E163,-1,0)))),"")</f>
        <v/>
      </c>
      <c r="AE163" s="114" t="b">
        <f t="shared" ca="1" si="69"/>
        <v>0</v>
      </c>
      <c r="AF163" s="159" t="str">
        <f t="shared" ca="1" si="70"/>
        <v>(abra o arquivo 'Referência 05-2023.xls)</v>
      </c>
      <c r="AG163" s="549">
        <f t="shared" ca="1" si="71"/>
        <v>0</v>
      </c>
      <c r="AH163" s="550">
        <f t="shared" ca="1" si="72"/>
        <v>0.25</v>
      </c>
      <c r="AJ163" s="552"/>
      <c r="AL163" s="573"/>
      <c r="AM163" s="430">
        <f t="shared" ca="1" si="73"/>
        <v>0</v>
      </c>
      <c r="AN163" s="616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4</v>
      </c>
      <c r="G164">
        <f t="shared" ca="1" si="55"/>
        <v>0</v>
      </c>
      <c r="H164">
        <f t="shared" ca="1" si="56"/>
        <v>0</v>
      </c>
      <c r="I164">
        <f t="shared" ca="1" si="57"/>
        <v>1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3" t="str">
        <f t="shared" ca="1" si="59"/>
        <v/>
      </c>
      <c r="M164" s="144" t="s">
        <v>198</v>
      </c>
      <c r="N164" s="145" t="str">
        <f t="shared" ca="1" si="60"/>
        <v>Serviço</v>
      </c>
      <c r="O164" s="146" t="str">
        <f t="shared" ca="1" si="61"/>
        <v>-</v>
      </c>
      <c r="P164" s="147" t="s">
        <v>246</v>
      </c>
      <c r="Q164" s="148"/>
      <c r="R164" s="149" t="str">
        <f t="shared" ca="1" si="62"/>
        <v>(abra o arquivo 'Referência 05-2023.xls)</v>
      </c>
      <c r="S164" s="150" t="str">
        <f t="shared" ca="1" si="63"/>
        <v>-</v>
      </c>
      <c r="T164" s="151">
        <f ca="1">OFFSET(CÁLCULO!H$15,ROW($T164)-ROW(T$15),0)</f>
        <v>0</v>
      </c>
      <c r="U164" s="152"/>
      <c r="V164" s="153" t="s">
        <v>155</v>
      </c>
      <c r="W164" s="151">
        <f t="shared" ca="1" si="64"/>
        <v>0</v>
      </c>
      <c r="X164" s="154">
        <f t="shared" ca="1" si="65"/>
        <v>0</v>
      </c>
      <c r="Y164" s="155" t="s">
        <v>244</v>
      </c>
      <c r="Z164" t="str">
        <f t="shared" ca="1" si="66"/>
        <v/>
      </c>
      <c r="AA164" s="156">
        <f ca="1">IF($C164="S",IF($Z164="CP",$X164,IF($Z164="RA",(($X164)*QCI!$AA$3),0)),SomaAgrup)</f>
        <v>0</v>
      </c>
      <c r="AB164" s="157">
        <f t="shared" ca="1" si="67"/>
        <v>0</v>
      </c>
      <c r="AC164" s="158" t="str">
        <f t="shared" ca="1" si="68"/>
        <v/>
      </c>
      <c r="AD164" s="104" t="str">
        <f ca="1">IF(C164&lt;=CRONO.NivelExibicao,MAX($AD$15:OFFSET(AD164,-1,0))+IF($C164&lt;&gt;1,1,MAX(1,COUNTIF(QCI!$A$13:$A$24,OFFSET($E164,-1,0)))),"")</f>
        <v/>
      </c>
      <c r="AE164" s="114" t="b">
        <f t="shared" ca="1" si="69"/>
        <v>0</v>
      </c>
      <c r="AF164" s="159" t="str">
        <f t="shared" ca="1" si="70"/>
        <v>(abra o arquivo 'Referência 05-2023.xls)</v>
      </c>
      <c r="AG164" s="549">
        <f t="shared" ca="1" si="71"/>
        <v>0</v>
      </c>
      <c r="AH164" s="550">
        <f t="shared" ca="1" si="72"/>
        <v>0.25</v>
      </c>
      <c r="AJ164" s="552"/>
      <c r="AL164" s="573"/>
      <c r="AM164" s="430">
        <f t="shared" ca="1" si="73"/>
        <v>0</v>
      </c>
      <c r="AN164" s="616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4</v>
      </c>
      <c r="G165">
        <f t="shared" ca="1" si="55"/>
        <v>0</v>
      </c>
      <c r="H165">
        <f t="shared" ca="1" si="56"/>
        <v>0</v>
      </c>
      <c r="I165">
        <f t="shared" ca="1" si="57"/>
        <v>1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3" t="str">
        <f t="shared" ca="1" si="59"/>
        <v/>
      </c>
      <c r="M165" s="144" t="s">
        <v>198</v>
      </c>
      <c r="N165" s="145" t="str">
        <f t="shared" ca="1" si="60"/>
        <v>Serviço</v>
      </c>
      <c r="O165" s="146" t="str">
        <f t="shared" ca="1" si="61"/>
        <v>-</v>
      </c>
      <c r="P165" s="147" t="s">
        <v>246</v>
      </c>
      <c r="Q165" s="148"/>
      <c r="R165" s="149" t="str">
        <f t="shared" ca="1" si="62"/>
        <v>(abra o arquivo 'Referência 05-2023.xls)</v>
      </c>
      <c r="S165" s="150" t="str">
        <f t="shared" ca="1" si="63"/>
        <v>-</v>
      </c>
      <c r="T165" s="151">
        <f ca="1">OFFSET(CÁLCULO!H$15,ROW($T165)-ROW(T$15),0)</f>
        <v>0</v>
      </c>
      <c r="U165" s="152"/>
      <c r="V165" s="153" t="s">
        <v>155</v>
      </c>
      <c r="W165" s="151">
        <f t="shared" ca="1" si="64"/>
        <v>0</v>
      </c>
      <c r="X165" s="154">
        <f t="shared" ca="1" si="65"/>
        <v>0</v>
      </c>
      <c r="Y165" s="155" t="s">
        <v>244</v>
      </c>
      <c r="Z165" t="str">
        <f t="shared" ca="1" si="66"/>
        <v/>
      </c>
      <c r="AA165" s="156">
        <f ca="1">IF($C165="S",IF($Z165="CP",$X165,IF($Z165="RA",(($X165)*QCI!$AA$3),0)),SomaAgrup)</f>
        <v>0</v>
      </c>
      <c r="AB165" s="157">
        <f t="shared" ca="1" si="67"/>
        <v>0</v>
      </c>
      <c r="AC165" s="158" t="str">
        <f t="shared" ca="1" si="68"/>
        <v/>
      </c>
      <c r="AD165" s="104" t="str">
        <f ca="1">IF(C165&lt;=CRONO.NivelExibicao,MAX($AD$15:OFFSET(AD165,-1,0))+IF($C165&lt;&gt;1,1,MAX(1,COUNTIF(QCI!$A$13:$A$24,OFFSET($E165,-1,0)))),"")</f>
        <v/>
      </c>
      <c r="AE165" s="114" t="b">
        <f t="shared" ca="1" si="69"/>
        <v>0</v>
      </c>
      <c r="AF165" s="159" t="str">
        <f t="shared" ca="1" si="70"/>
        <v>(abra o arquivo 'Referência 05-2023.xls)</v>
      </c>
      <c r="AG165" s="549">
        <f t="shared" ca="1" si="71"/>
        <v>0</v>
      </c>
      <c r="AH165" s="550">
        <f t="shared" ca="1" si="72"/>
        <v>0.25</v>
      </c>
      <c r="AJ165" s="552"/>
      <c r="AL165" s="573"/>
      <c r="AM165" s="430">
        <f t="shared" ca="1" si="73"/>
        <v>0</v>
      </c>
      <c r="AN165" s="616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4</v>
      </c>
      <c r="G166">
        <f t="shared" ca="1" si="55"/>
        <v>0</v>
      </c>
      <c r="H166">
        <f t="shared" ca="1" si="56"/>
        <v>0</v>
      </c>
      <c r="I166">
        <f t="shared" ca="1" si="57"/>
        <v>1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3" t="str">
        <f t="shared" ca="1" si="59"/>
        <v/>
      </c>
      <c r="M166" s="144" t="s">
        <v>198</v>
      </c>
      <c r="N166" s="145" t="str">
        <f t="shared" ca="1" si="60"/>
        <v>Serviço</v>
      </c>
      <c r="O166" s="146" t="str">
        <f t="shared" ca="1" si="61"/>
        <v>-</v>
      </c>
      <c r="P166" s="147" t="s">
        <v>246</v>
      </c>
      <c r="Q166" s="148"/>
      <c r="R166" s="149" t="str">
        <f t="shared" ca="1" si="62"/>
        <v>(abra o arquivo 'Referência 05-2023.xls)</v>
      </c>
      <c r="S166" s="150" t="str">
        <f t="shared" ca="1" si="63"/>
        <v>-</v>
      </c>
      <c r="T166" s="151">
        <f ca="1">OFFSET(CÁLCULO!H$15,ROW($T166)-ROW(T$15),0)</f>
        <v>0</v>
      </c>
      <c r="U166" s="152"/>
      <c r="V166" s="153" t="s">
        <v>155</v>
      </c>
      <c r="W166" s="151">
        <f t="shared" ca="1" si="64"/>
        <v>0</v>
      </c>
      <c r="X166" s="154">
        <f t="shared" ca="1" si="65"/>
        <v>0</v>
      </c>
      <c r="Y166" s="155" t="s">
        <v>244</v>
      </c>
      <c r="Z166" t="str">
        <f t="shared" ca="1" si="66"/>
        <v/>
      </c>
      <c r="AA166" s="156">
        <f ca="1">IF($C166="S",IF($Z166="CP",$X166,IF($Z166="RA",(($X166)*QCI!$AA$3),0)),SomaAgrup)</f>
        <v>0</v>
      </c>
      <c r="AB166" s="157">
        <f t="shared" ca="1" si="67"/>
        <v>0</v>
      </c>
      <c r="AC166" s="158" t="str">
        <f t="shared" ca="1" si="68"/>
        <v/>
      </c>
      <c r="AD166" s="104" t="str">
        <f ca="1">IF(C166&lt;=CRONO.NivelExibicao,MAX($AD$15:OFFSET(AD166,-1,0))+IF($C166&lt;&gt;1,1,MAX(1,COUNTIF(QCI!$A$13:$A$24,OFFSET($E166,-1,0)))),"")</f>
        <v/>
      </c>
      <c r="AE166" s="114" t="b">
        <f t="shared" ca="1" si="69"/>
        <v>0</v>
      </c>
      <c r="AF166" s="159" t="str">
        <f t="shared" ca="1" si="70"/>
        <v>(abra o arquivo 'Referência 05-2023.xls)</v>
      </c>
      <c r="AG166" s="549">
        <f t="shared" ca="1" si="71"/>
        <v>0</v>
      </c>
      <c r="AH166" s="550">
        <f t="shared" ca="1" si="72"/>
        <v>0.25</v>
      </c>
      <c r="AJ166" s="552"/>
      <c r="AL166" s="573"/>
      <c r="AM166" s="430">
        <f t="shared" ca="1" si="73"/>
        <v>0</v>
      </c>
      <c r="AN166" s="616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4</v>
      </c>
      <c r="G167">
        <f t="shared" ca="1" si="55"/>
        <v>0</v>
      </c>
      <c r="H167">
        <f t="shared" ca="1" si="56"/>
        <v>0</v>
      </c>
      <c r="I167">
        <f t="shared" ca="1" si="57"/>
        <v>1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3" t="str">
        <f t="shared" ca="1" si="59"/>
        <v/>
      </c>
      <c r="M167" s="144" t="s">
        <v>198</v>
      </c>
      <c r="N167" s="145" t="str">
        <f t="shared" ca="1" si="60"/>
        <v>Serviço</v>
      </c>
      <c r="O167" s="146" t="str">
        <f t="shared" ca="1" si="61"/>
        <v>-</v>
      </c>
      <c r="P167" s="147" t="s">
        <v>246</v>
      </c>
      <c r="Q167" s="148"/>
      <c r="R167" s="149" t="str">
        <f t="shared" ca="1" si="62"/>
        <v>(abra o arquivo 'Referência 05-2023.xls)</v>
      </c>
      <c r="S167" s="150" t="str">
        <f t="shared" ca="1" si="63"/>
        <v>-</v>
      </c>
      <c r="T167" s="151">
        <f ca="1">OFFSET(CÁLCULO!H$15,ROW($T167)-ROW(T$15),0)</f>
        <v>0</v>
      </c>
      <c r="U167" s="152"/>
      <c r="V167" s="153" t="s">
        <v>155</v>
      </c>
      <c r="W167" s="151">
        <f t="shared" ca="1" si="64"/>
        <v>0</v>
      </c>
      <c r="X167" s="154">
        <f t="shared" ca="1" si="65"/>
        <v>0</v>
      </c>
      <c r="Y167" s="155" t="s">
        <v>244</v>
      </c>
      <c r="Z167" t="str">
        <f t="shared" ca="1" si="66"/>
        <v/>
      </c>
      <c r="AA167" s="156">
        <f ca="1">IF($C167="S",IF($Z167="CP",$X167,IF($Z167="RA",(($X167)*QCI!$AA$3),0)),SomaAgrup)</f>
        <v>0</v>
      </c>
      <c r="AB167" s="157">
        <f t="shared" ca="1" si="67"/>
        <v>0</v>
      </c>
      <c r="AC167" s="158" t="str">
        <f t="shared" ca="1" si="68"/>
        <v/>
      </c>
      <c r="AD167" s="104" t="str">
        <f ca="1">IF(C167&lt;=CRONO.NivelExibicao,MAX($AD$15:OFFSET(AD167,-1,0))+IF($C167&lt;&gt;1,1,MAX(1,COUNTIF(QCI!$A$13:$A$24,OFFSET($E167,-1,0)))),"")</f>
        <v/>
      </c>
      <c r="AE167" s="114" t="b">
        <f t="shared" ca="1" si="69"/>
        <v>0</v>
      </c>
      <c r="AF167" s="159" t="str">
        <f t="shared" ca="1" si="70"/>
        <v>(abra o arquivo 'Referência 05-2023.xls)</v>
      </c>
      <c r="AG167" s="549">
        <f t="shared" ca="1" si="71"/>
        <v>0</v>
      </c>
      <c r="AH167" s="550">
        <f t="shared" ca="1" si="72"/>
        <v>0.25</v>
      </c>
      <c r="AJ167" s="552"/>
      <c r="AL167" s="573"/>
      <c r="AM167" s="430">
        <f t="shared" ca="1" si="73"/>
        <v>0</v>
      </c>
      <c r="AN167" s="616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4</v>
      </c>
      <c r="G168">
        <f t="shared" ca="1" si="55"/>
        <v>0</v>
      </c>
      <c r="H168">
        <f t="shared" ca="1" si="56"/>
        <v>0</v>
      </c>
      <c r="I168">
        <f t="shared" ca="1" si="57"/>
        <v>1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3" t="str">
        <f t="shared" ca="1" si="59"/>
        <v/>
      </c>
      <c r="M168" s="144" t="s">
        <v>198</v>
      </c>
      <c r="N168" s="145" t="str">
        <f t="shared" ca="1" si="60"/>
        <v>Serviço</v>
      </c>
      <c r="O168" s="146" t="str">
        <f t="shared" ca="1" si="61"/>
        <v>-</v>
      </c>
      <c r="P168" s="147" t="s">
        <v>246</v>
      </c>
      <c r="Q168" s="148"/>
      <c r="R168" s="149" t="str">
        <f t="shared" ca="1" si="62"/>
        <v>(abra o arquivo 'Referência 05-2023.xls)</v>
      </c>
      <c r="S168" s="150" t="str">
        <f t="shared" ca="1" si="63"/>
        <v>-</v>
      </c>
      <c r="T168" s="151">
        <f ca="1">OFFSET(CÁLCULO!H$15,ROW($T168)-ROW(T$15),0)</f>
        <v>0</v>
      </c>
      <c r="U168" s="152"/>
      <c r="V168" s="153" t="s">
        <v>155</v>
      </c>
      <c r="W168" s="151">
        <f t="shared" ca="1" si="64"/>
        <v>0</v>
      </c>
      <c r="X168" s="154">
        <f t="shared" ca="1" si="65"/>
        <v>0</v>
      </c>
      <c r="Y168" s="155" t="s">
        <v>244</v>
      </c>
      <c r="Z168" t="str">
        <f t="shared" ca="1" si="66"/>
        <v/>
      </c>
      <c r="AA168" s="156">
        <f ca="1">IF($C168="S",IF($Z168="CP",$X168,IF($Z168="RA",(($X168)*QCI!$AA$3),0)),SomaAgrup)</f>
        <v>0</v>
      </c>
      <c r="AB168" s="157">
        <f t="shared" ca="1" si="67"/>
        <v>0</v>
      </c>
      <c r="AC168" s="158" t="str">
        <f t="shared" ca="1" si="68"/>
        <v/>
      </c>
      <c r="AD168" s="104" t="str">
        <f ca="1">IF(C168&lt;=CRONO.NivelExibicao,MAX($AD$15:OFFSET(AD168,-1,0))+IF($C168&lt;&gt;1,1,MAX(1,COUNTIF(QCI!$A$13:$A$24,OFFSET($E168,-1,0)))),"")</f>
        <v/>
      </c>
      <c r="AE168" s="114" t="b">
        <f t="shared" ca="1" si="69"/>
        <v>0</v>
      </c>
      <c r="AF168" s="159" t="str">
        <f t="shared" ca="1" si="70"/>
        <v>(abra o arquivo 'Referência 05-2023.xls)</v>
      </c>
      <c r="AG168" s="549">
        <f t="shared" ca="1" si="71"/>
        <v>0</v>
      </c>
      <c r="AH168" s="550">
        <f t="shared" ca="1" si="72"/>
        <v>0.25</v>
      </c>
      <c r="AJ168" s="552"/>
      <c r="AL168" s="573"/>
      <c r="AM168" s="430">
        <f t="shared" ca="1" si="73"/>
        <v>0</v>
      </c>
      <c r="AN168" s="616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</v>
      </c>
      <c r="F169">
        <f t="shared" ca="1" si="54"/>
        <v>4</v>
      </c>
      <c r="G169">
        <f t="shared" ca="1" si="55"/>
        <v>0</v>
      </c>
      <c r="H169">
        <f t="shared" ca="1" si="56"/>
        <v>0</v>
      </c>
      <c r="I169">
        <f t="shared" ca="1" si="57"/>
        <v>1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3" t="str">
        <f t="shared" ca="1" si="59"/>
        <v/>
      </c>
      <c r="M169" s="144" t="s">
        <v>198</v>
      </c>
      <c r="N169" s="145" t="str">
        <f t="shared" ca="1" si="60"/>
        <v>Serviço</v>
      </c>
      <c r="O169" s="146" t="str">
        <f t="shared" ca="1" si="61"/>
        <v>-</v>
      </c>
      <c r="P169" s="147" t="s">
        <v>246</v>
      </c>
      <c r="Q169" s="148"/>
      <c r="R169" s="149" t="str">
        <f t="shared" ca="1" si="62"/>
        <v>(abra o arquivo 'Referência 05-2023.xls)</v>
      </c>
      <c r="S169" s="150" t="str">
        <f t="shared" ca="1" si="63"/>
        <v>-</v>
      </c>
      <c r="T169" s="151">
        <f ca="1">OFFSET(CÁLCULO!H$15,ROW($T169)-ROW(T$15),0)</f>
        <v>0</v>
      </c>
      <c r="U169" s="152"/>
      <c r="V169" s="153" t="s">
        <v>155</v>
      </c>
      <c r="W169" s="151">
        <f t="shared" ca="1" si="64"/>
        <v>0</v>
      </c>
      <c r="X169" s="154">
        <f t="shared" ca="1" si="65"/>
        <v>0</v>
      </c>
      <c r="Y169" s="155" t="s">
        <v>244</v>
      </c>
      <c r="Z169" t="str">
        <f t="shared" ca="1" si="66"/>
        <v/>
      </c>
      <c r="AA169" s="156">
        <f ca="1">IF($C169="S",IF($Z169="CP",$X169,IF($Z169="RA",(($X169)*QCI!$AA$3),0)),SomaAgrup)</f>
        <v>0</v>
      </c>
      <c r="AB169" s="157">
        <f t="shared" ca="1" si="67"/>
        <v>0</v>
      </c>
      <c r="AC169" s="158" t="str">
        <f t="shared" ca="1" si="68"/>
        <v/>
      </c>
      <c r="AD169" s="104" t="str">
        <f ca="1">IF(C169&lt;=CRONO.NivelExibicao,MAX($AD$15:OFFSET(AD169,-1,0))+IF($C169&lt;&gt;1,1,MAX(1,COUNTIF(QCI!$A$13:$A$24,OFFSET($E169,-1,0)))),"")</f>
        <v/>
      </c>
      <c r="AE169" s="114" t="b">
        <f t="shared" ca="1" si="69"/>
        <v>0</v>
      </c>
      <c r="AF169" s="159" t="str">
        <f t="shared" ca="1" si="70"/>
        <v>(abra o arquivo 'Referência 05-2023.xls)</v>
      </c>
      <c r="AG169" s="549">
        <f t="shared" ca="1" si="71"/>
        <v>0</v>
      </c>
      <c r="AH169" s="550">
        <f t="shared" ca="1" si="72"/>
        <v>0.25</v>
      </c>
      <c r="AJ169" s="552"/>
      <c r="AL169" s="573"/>
      <c r="AM169" s="430">
        <f t="shared" ca="1" si="73"/>
        <v>0</v>
      </c>
      <c r="AN169" s="616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4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3" t="str">
        <f t="shared" ca="1" si="59"/>
        <v/>
      </c>
      <c r="M170" s="144" t="s">
        <v>198</v>
      </c>
      <c r="N170" s="145" t="str">
        <f t="shared" ca="1" si="60"/>
        <v>Serviço</v>
      </c>
      <c r="O170" s="146" t="str">
        <f t="shared" ca="1" si="61"/>
        <v>-</v>
      </c>
      <c r="P170" s="147" t="s">
        <v>246</v>
      </c>
      <c r="Q170" s="148"/>
      <c r="R170" s="149" t="str">
        <f t="shared" ca="1" si="62"/>
        <v>(abra o arquivo 'Referência 05-2023.xls)</v>
      </c>
      <c r="S170" s="150" t="str">
        <f t="shared" ca="1" si="63"/>
        <v>-</v>
      </c>
      <c r="T170" s="151">
        <f ca="1">OFFSET(CÁLCULO!H$15,ROW($T170)-ROW(T$15),0)</f>
        <v>0</v>
      </c>
      <c r="U170" s="152"/>
      <c r="V170" s="153" t="s">
        <v>155</v>
      </c>
      <c r="W170" s="151">
        <f t="shared" ca="1" si="64"/>
        <v>0</v>
      </c>
      <c r="X170" s="154">
        <f t="shared" ca="1" si="65"/>
        <v>0</v>
      </c>
      <c r="Y170" s="155" t="s">
        <v>244</v>
      </c>
      <c r="Z170" t="str">
        <f t="shared" ca="1" si="66"/>
        <v/>
      </c>
      <c r="AA170" s="156">
        <f ca="1">IF($C170="S",IF($Z170="CP",$X170,IF($Z170="RA",(($X170)*QCI!$AA$3),0)),SomaAgrup)</f>
        <v>0</v>
      </c>
      <c r="AB170" s="157">
        <f t="shared" ca="1" si="67"/>
        <v>0</v>
      </c>
      <c r="AC170" s="158" t="str">
        <f t="shared" ca="1" si="68"/>
        <v/>
      </c>
      <c r="AD170" s="104" t="str">
        <f ca="1">IF(C170&lt;=CRONO.NivelExibicao,MAX($AD$15:OFFSET(AD170,-1,0))+IF($C170&lt;&gt;1,1,MAX(1,COUNTIF(QCI!$A$13:$A$24,OFFSET($E170,-1,0)))),"")</f>
        <v/>
      </c>
      <c r="AE170" s="114" t="b">
        <f t="shared" ca="1" si="69"/>
        <v>0</v>
      </c>
      <c r="AF170" s="159" t="str">
        <f t="shared" ca="1" si="70"/>
        <v>(abra o arquivo 'Referência 05-2023.xls)</v>
      </c>
      <c r="AG170" s="549">
        <f t="shared" ca="1" si="71"/>
        <v>0</v>
      </c>
      <c r="AH170" s="550">
        <f t="shared" ca="1" si="72"/>
        <v>0.25</v>
      </c>
      <c r="AJ170" s="552"/>
      <c r="AL170" s="573"/>
      <c r="AM170" s="430">
        <f t="shared" ca="1" si="73"/>
        <v>0</v>
      </c>
      <c r="AN170" s="616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4</v>
      </c>
      <c r="G171">
        <f t="shared" ca="1" si="55"/>
        <v>0</v>
      </c>
      <c r="H171">
        <f t="shared" ca="1" si="56"/>
        <v>0</v>
      </c>
      <c r="I171">
        <f t="shared" ca="1" si="57"/>
        <v>1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3" t="str">
        <f t="shared" ca="1" si="59"/>
        <v/>
      </c>
      <c r="M171" s="144" t="s">
        <v>198</v>
      </c>
      <c r="N171" s="145" t="str">
        <f t="shared" ca="1" si="60"/>
        <v>Serviço</v>
      </c>
      <c r="O171" s="146" t="str">
        <f t="shared" ca="1" si="61"/>
        <v>-</v>
      </c>
      <c r="P171" s="147" t="s">
        <v>246</v>
      </c>
      <c r="Q171" s="148"/>
      <c r="R171" s="149" t="str">
        <f t="shared" ca="1" si="62"/>
        <v>(abra o arquivo 'Referência 05-2023.xls)</v>
      </c>
      <c r="S171" s="150" t="str">
        <f t="shared" ca="1" si="63"/>
        <v>-</v>
      </c>
      <c r="T171" s="151">
        <f ca="1">OFFSET(CÁLCULO!H$15,ROW($T171)-ROW(T$15),0)</f>
        <v>0</v>
      </c>
      <c r="U171" s="152"/>
      <c r="V171" s="153" t="s">
        <v>155</v>
      </c>
      <c r="W171" s="151">
        <f t="shared" ca="1" si="64"/>
        <v>0</v>
      </c>
      <c r="X171" s="154">
        <f t="shared" ca="1" si="65"/>
        <v>0</v>
      </c>
      <c r="Y171" s="155" t="s">
        <v>244</v>
      </c>
      <c r="Z171" t="str">
        <f t="shared" ca="1" si="66"/>
        <v/>
      </c>
      <c r="AA171" s="156">
        <f ca="1">IF($C171="S",IF($Z171="CP",$X171,IF($Z171="RA",(($X171)*QCI!$AA$3),0)),SomaAgrup)</f>
        <v>0</v>
      </c>
      <c r="AB171" s="157">
        <f t="shared" ca="1" si="67"/>
        <v>0</v>
      </c>
      <c r="AC171" s="158" t="str">
        <f t="shared" ca="1" si="68"/>
        <v/>
      </c>
      <c r="AD171" s="104" t="str">
        <f ca="1">IF(C171&lt;=CRONO.NivelExibicao,MAX($AD$15:OFFSET(AD171,-1,0))+IF($C171&lt;&gt;1,1,MAX(1,COUNTIF(QCI!$A$13:$A$24,OFFSET($E171,-1,0)))),"")</f>
        <v/>
      </c>
      <c r="AE171" s="114" t="b">
        <f t="shared" ca="1" si="69"/>
        <v>0</v>
      </c>
      <c r="AF171" s="159" t="str">
        <f t="shared" ca="1" si="70"/>
        <v>(abra o arquivo 'Referência 05-2023.xls)</v>
      </c>
      <c r="AG171" s="549">
        <f t="shared" ca="1" si="71"/>
        <v>0</v>
      </c>
      <c r="AH171" s="550">
        <f t="shared" ca="1" si="72"/>
        <v>0.25</v>
      </c>
      <c r="AJ171" s="552"/>
      <c r="AL171" s="573"/>
      <c r="AM171" s="430">
        <f t="shared" ca="1" si="73"/>
        <v>0</v>
      </c>
      <c r="AN171" s="616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4</v>
      </c>
      <c r="G172">
        <f t="shared" ca="1" si="55"/>
        <v>0</v>
      </c>
      <c r="H172">
        <f t="shared" ca="1" si="56"/>
        <v>0</v>
      </c>
      <c r="I172">
        <f t="shared" ca="1" si="57"/>
        <v>1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3" t="str">
        <f t="shared" ca="1" si="59"/>
        <v/>
      </c>
      <c r="M172" s="144" t="s">
        <v>198</v>
      </c>
      <c r="N172" s="145" t="str">
        <f t="shared" ca="1" si="60"/>
        <v>Serviço</v>
      </c>
      <c r="O172" s="146" t="str">
        <f t="shared" ca="1" si="61"/>
        <v>-</v>
      </c>
      <c r="P172" s="147" t="s">
        <v>246</v>
      </c>
      <c r="Q172" s="148"/>
      <c r="R172" s="149" t="str">
        <f t="shared" ca="1" si="62"/>
        <v>(abra o arquivo 'Referência 05-2023.xls)</v>
      </c>
      <c r="S172" s="150" t="str">
        <f t="shared" ca="1" si="63"/>
        <v>-</v>
      </c>
      <c r="T172" s="151">
        <f ca="1">OFFSET(CÁLCULO!H$15,ROW($T172)-ROW(T$15),0)</f>
        <v>0</v>
      </c>
      <c r="U172" s="152"/>
      <c r="V172" s="153" t="s">
        <v>155</v>
      </c>
      <c r="W172" s="151">
        <f t="shared" ca="1" si="64"/>
        <v>0</v>
      </c>
      <c r="X172" s="154">
        <f t="shared" ca="1" si="65"/>
        <v>0</v>
      </c>
      <c r="Y172" s="155" t="s">
        <v>244</v>
      </c>
      <c r="Z172" t="str">
        <f t="shared" ca="1" si="66"/>
        <v/>
      </c>
      <c r="AA172" s="156">
        <f ca="1">IF($C172="S",IF($Z172="CP",$X172,IF($Z172="RA",(($X172)*QCI!$AA$3),0)),SomaAgrup)</f>
        <v>0</v>
      </c>
      <c r="AB172" s="157">
        <f t="shared" ca="1" si="67"/>
        <v>0</v>
      </c>
      <c r="AC172" s="158" t="str">
        <f t="shared" ca="1" si="68"/>
        <v/>
      </c>
      <c r="AD172" s="104" t="str">
        <f ca="1">IF(C172&lt;=CRONO.NivelExibicao,MAX($AD$15:OFFSET(AD172,-1,0))+IF($C172&lt;&gt;1,1,MAX(1,COUNTIF(QCI!$A$13:$A$24,OFFSET($E172,-1,0)))),"")</f>
        <v/>
      </c>
      <c r="AE172" s="114" t="b">
        <f t="shared" ca="1" si="69"/>
        <v>0</v>
      </c>
      <c r="AF172" s="159" t="str">
        <f t="shared" ca="1" si="70"/>
        <v>(abra o arquivo 'Referência 05-2023.xls)</v>
      </c>
      <c r="AG172" s="549">
        <f t="shared" ca="1" si="71"/>
        <v>0</v>
      </c>
      <c r="AH172" s="550">
        <f t="shared" ca="1" si="72"/>
        <v>0.25</v>
      </c>
      <c r="AJ172" s="552"/>
      <c r="AL172" s="573"/>
      <c r="AM172" s="430">
        <f t="shared" ca="1" si="73"/>
        <v>0</v>
      </c>
      <c r="AN172" s="616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4</v>
      </c>
      <c r="G173">
        <f t="shared" ca="1" si="55"/>
        <v>0</v>
      </c>
      <c r="H173">
        <f t="shared" ca="1" si="56"/>
        <v>0</v>
      </c>
      <c r="I173">
        <f t="shared" ca="1" si="57"/>
        <v>1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3" t="str">
        <f t="shared" ca="1" si="59"/>
        <v/>
      </c>
      <c r="M173" s="144" t="s">
        <v>198</v>
      </c>
      <c r="N173" s="145" t="str">
        <f t="shared" ca="1" si="60"/>
        <v>Serviço</v>
      </c>
      <c r="O173" s="146" t="str">
        <f t="shared" ca="1" si="61"/>
        <v>-</v>
      </c>
      <c r="P173" s="147" t="s">
        <v>246</v>
      </c>
      <c r="Q173" s="148"/>
      <c r="R173" s="149" t="str">
        <f t="shared" ca="1" si="62"/>
        <v>(abra o arquivo 'Referência 05-2023.xls)</v>
      </c>
      <c r="S173" s="150" t="str">
        <f t="shared" ca="1" si="63"/>
        <v>-</v>
      </c>
      <c r="T173" s="151">
        <f ca="1">OFFSET(CÁLCULO!H$15,ROW($T173)-ROW(T$15),0)</f>
        <v>0</v>
      </c>
      <c r="U173" s="152"/>
      <c r="V173" s="153" t="s">
        <v>155</v>
      </c>
      <c r="W173" s="151">
        <f t="shared" ca="1" si="64"/>
        <v>0</v>
      </c>
      <c r="X173" s="154">
        <f t="shared" ca="1" si="65"/>
        <v>0</v>
      </c>
      <c r="Y173" s="155" t="s">
        <v>244</v>
      </c>
      <c r="Z173" t="str">
        <f t="shared" ca="1" si="66"/>
        <v/>
      </c>
      <c r="AA173" s="156">
        <f ca="1">IF($C173="S",IF($Z173="CP",$X173,IF($Z173="RA",(($X173)*QCI!$AA$3),0)),SomaAgrup)</f>
        <v>0</v>
      </c>
      <c r="AB173" s="157">
        <f t="shared" ca="1" si="67"/>
        <v>0</v>
      </c>
      <c r="AC173" s="158" t="str">
        <f t="shared" ca="1" si="68"/>
        <v/>
      </c>
      <c r="AD173" s="104" t="str">
        <f ca="1">IF(C173&lt;=CRONO.NivelExibicao,MAX($AD$15:OFFSET(AD173,-1,0))+IF($C173&lt;&gt;1,1,MAX(1,COUNTIF(QCI!$A$13:$A$24,OFFSET($E173,-1,0)))),"")</f>
        <v/>
      </c>
      <c r="AE173" s="114" t="b">
        <f t="shared" ca="1" si="69"/>
        <v>0</v>
      </c>
      <c r="AF173" s="159" t="str">
        <f t="shared" ca="1" si="70"/>
        <v>(abra o arquivo 'Referência 05-2023.xls)</v>
      </c>
      <c r="AG173" s="549">
        <f t="shared" ca="1" si="71"/>
        <v>0</v>
      </c>
      <c r="AH173" s="550">
        <f t="shared" ca="1" si="72"/>
        <v>0.25</v>
      </c>
      <c r="AJ173" s="552"/>
      <c r="AL173" s="573"/>
      <c r="AM173" s="430">
        <f t="shared" ca="1" si="73"/>
        <v>0</v>
      </c>
      <c r="AN173" s="616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4</v>
      </c>
      <c r="G174">
        <f t="shared" ca="1" si="55"/>
        <v>0</v>
      </c>
      <c r="H174">
        <f t="shared" ca="1" si="56"/>
        <v>0</v>
      </c>
      <c r="I174">
        <f t="shared" ca="1" si="57"/>
        <v>1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3" t="str">
        <f t="shared" ca="1" si="59"/>
        <v/>
      </c>
      <c r="M174" s="144" t="s">
        <v>198</v>
      </c>
      <c r="N174" s="145" t="str">
        <f t="shared" ca="1" si="60"/>
        <v>Serviço</v>
      </c>
      <c r="O174" s="146" t="str">
        <f t="shared" ca="1" si="61"/>
        <v>-</v>
      </c>
      <c r="P174" s="147" t="s">
        <v>246</v>
      </c>
      <c r="Q174" s="148"/>
      <c r="R174" s="149" t="str">
        <f t="shared" ca="1" si="62"/>
        <v>(abra o arquivo 'Referência 05-2023.xls)</v>
      </c>
      <c r="S174" s="150" t="str">
        <f t="shared" ca="1" si="63"/>
        <v>-</v>
      </c>
      <c r="T174" s="151">
        <f ca="1">OFFSET(CÁLCULO!H$15,ROW($T174)-ROW(T$15),0)</f>
        <v>0</v>
      </c>
      <c r="U174" s="152"/>
      <c r="V174" s="153" t="s">
        <v>155</v>
      </c>
      <c r="W174" s="151">
        <f t="shared" ca="1" si="64"/>
        <v>0</v>
      </c>
      <c r="X174" s="154">
        <f t="shared" ca="1" si="65"/>
        <v>0</v>
      </c>
      <c r="Y174" s="155" t="s">
        <v>244</v>
      </c>
      <c r="Z174" t="str">
        <f t="shared" ca="1" si="66"/>
        <v/>
      </c>
      <c r="AA174" s="156">
        <f ca="1">IF($C174="S",IF($Z174="CP",$X174,IF($Z174="RA",(($X174)*QCI!$AA$3),0)),SomaAgrup)</f>
        <v>0</v>
      </c>
      <c r="AB174" s="157">
        <f t="shared" ca="1" si="67"/>
        <v>0</v>
      </c>
      <c r="AC174" s="158" t="str">
        <f t="shared" ca="1" si="68"/>
        <v/>
      </c>
      <c r="AD174" s="104" t="str">
        <f ca="1">IF(C174&lt;=CRONO.NivelExibicao,MAX($AD$15:OFFSET(AD174,-1,0))+IF($C174&lt;&gt;1,1,MAX(1,COUNTIF(QCI!$A$13:$A$24,OFFSET($E174,-1,0)))),"")</f>
        <v/>
      </c>
      <c r="AE174" s="114" t="b">
        <f t="shared" ca="1" si="69"/>
        <v>0</v>
      </c>
      <c r="AF174" s="159" t="str">
        <f t="shared" ca="1" si="70"/>
        <v>(abra o arquivo 'Referência 05-2023.xls)</v>
      </c>
      <c r="AG174" s="549">
        <f t="shared" ca="1" si="71"/>
        <v>0</v>
      </c>
      <c r="AH174" s="550">
        <f t="shared" ca="1" si="72"/>
        <v>0.25</v>
      </c>
      <c r="AJ174" s="552"/>
      <c r="AL174" s="573"/>
      <c r="AM174" s="430">
        <f t="shared" ca="1" si="73"/>
        <v>0</v>
      </c>
      <c r="AN174" s="616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4</v>
      </c>
      <c r="G175">
        <f t="shared" ca="1" si="55"/>
        <v>0</v>
      </c>
      <c r="H175">
        <f t="shared" ca="1" si="56"/>
        <v>0</v>
      </c>
      <c r="I175">
        <f t="shared" ca="1" si="57"/>
        <v>1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3" t="str">
        <f t="shared" ca="1" si="59"/>
        <v/>
      </c>
      <c r="M175" s="144" t="s">
        <v>198</v>
      </c>
      <c r="N175" s="145" t="str">
        <f t="shared" ca="1" si="60"/>
        <v>Serviço</v>
      </c>
      <c r="O175" s="146" t="str">
        <f t="shared" ca="1" si="61"/>
        <v>-</v>
      </c>
      <c r="P175" s="147" t="s">
        <v>246</v>
      </c>
      <c r="Q175" s="148"/>
      <c r="R175" s="149" t="str">
        <f t="shared" ca="1" si="62"/>
        <v>(abra o arquivo 'Referência 05-2023.xls)</v>
      </c>
      <c r="S175" s="150" t="str">
        <f t="shared" ca="1" si="63"/>
        <v>-</v>
      </c>
      <c r="T175" s="151">
        <f ca="1">OFFSET(CÁLCULO!H$15,ROW($T175)-ROW(T$15),0)</f>
        <v>0</v>
      </c>
      <c r="U175" s="152"/>
      <c r="V175" s="153" t="s">
        <v>155</v>
      </c>
      <c r="W175" s="151">
        <f t="shared" ca="1" si="64"/>
        <v>0</v>
      </c>
      <c r="X175" s="154">
        <f t="shared" ca="1" si="65"/>
        <v>0</v>
      </c>
      <c r="Y175" s="155" t="s">
        <v>244</v>
      </c>
      <c r="Z175" t="str">
        <f t="shared" ca="1" si="66"/>
        <v/>
      </c>
      <c r="AA175" s="156">
        <f ca="1">IF($C175="S",IF($Z175="CP",$X175,IF($Z175="RA",(($X175)*QCI!$AA$3),0)),SomaAgrup)</f>
        <v>0</v>
      </c>
      <c r="AB175" s="157">
        <f t="shared" ca="1" si="67"/>
        <v>0</v>
      </c>
      <c r="AC175" s="158" t="str">
        <f t="shared" ca="1" si="68"/>
        <v/>
      </c>
      <c r="AD175" s="104" t="str">
        <f ca="1">IF(C175&lt;=CRONO.NivelExibicao,MAX($AD$15:OFFSET(AD175,-1,0))+IF($C175&lt;&gt;1,1,MAX(1,COUNTIF(QCI!$A$13:$A$24,OFFSET($E175,-1,0)))),"")</f>
        <v/>
      </c>
      <c r="AE175" s="114" t="b">
        <f t="shared" ca="1" si="69"/>
        <v>0</v>
      </c>
      <c r="AF175" s="159" t="str">
        <f t="shared" ca="1" si="70"/>
        <v>(abra o arquivo 'Referência 05-2023.xls)</v>
      </c>
      <c r="AG175" s="549">
        <f t="shared" ca="1" si="71"/>
        <v>0</v>
      </c>
      <c r="AH175" s="550">
        <f t="shared" ca="1" si="72"/>
        <v>0.25</v>
      </c>
      <c r="AJ175" s="552"/>
      <c r="AL175" s="573"/>
      <c r="AM175" s="430">
        <f t="shared" ca="1" si="73"/>
        <v>0</v>
      </c>
      <c r="AN175" s="616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4</v>
      </c>
      <c r="G176">
        <f t="shared" ca="1" si="55"/>
        <v>0</v>
      </c>
      <c r="H176">
        <f t="shared" ca="1" si="56"/>
        <v>0</v>
      </c>
      <c r="I176">
        <f t="shared" ca="1" si="57"/>
        <v>1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3" t="str">
        <f t="shared" ca="1" si="59"/>
        <v/>
      </c>
      <c r="M176" s="144" t="s">
        <v>198</v>
      </c>
      <c r="N176" s="145" t="str">
        <f t="shared" ca="1" si="60"/>
        <v>Serviço</v>
      </c>
      <c r="O176" s="146" t="str">
        <f t="shared" ca="1" si="61"/>
        <v>-</v>
      </c>
      <c r="P176" s="147" t="s">
        <v>246</v>
      </c>
      <c r="Q176" s="148"/>
      <c r="R176" s="149" t="str">
        <f t="shared" ca="1" si="62"/>
        <v>(abra o arquivo 'Referência 05-2023.xls)</v>
      </c>
      <c r="S176" s="150" t="str">
        <f t="shared" ca="1" si="63"/>
        <v>-</v>
      </c>
      <c r="T176" s="151">
        <f ca="1">OFFSET(CÁLCULO!H$15,ROW($T176)-ROW(T$15),0)</f>
        <v>0</v>
      </c>
      <c r="U176" s="152"/>
      <c r="V176" s="153" t="s">
        <v>155</v>
      </c>
      <c r="W176" s="151">
        <f t="shared" ca="1" si="64"/>
        <v>0</v>
      </c>
      <c r="X176" s="154">
        <f t="shared" ca="1" si="65"/>
        <v>0</v>
      </c>
      <c r="Y176" s="155" t="s">
        <v>244</v>
      </c>
      <c r="Z176" t="str">
        <f t="shared" ca="1" si="66"/>
        <v/>
      </c>
      <c r="AA176" s="156">
        <f ca="1">IF($C176="S",IF($Z176="CP",$X176,IF($Z176="RA",(($X176)*QCI!$AA$3),0)),SomaAgrup)</f>
        <v>0</v>
      </c>
      <c r="AB176" s="157">
        <f t="shared" ca="1" si="67"/>
        <v>0</v>
      </c>
      <c r="AC176" s="158" t="str">
        <f t="shared" ca="1" si="68"/>
        <v/>
      </c>
      <c r="AD176" s="104" t="str">
        <f ca="1">IF(C176&lt;=CRONO.NivelExibicao,MAX($AD$15:OFFSET(AD176,-1,0))+IF($C176&lt;&gt;1,1,MAX(1,COUNTIF(QCI!$A$13:$A$24,OFFSET($E176,-1,0)))),"")</f>
        <v/>
      </c>
      <c r="AE176" s="114" t="b">
        <f t="shared" ca="1" si="69"/>
        <v>0</v>
      </c>
      <c r="AF176" s="159" t="str">
        <f t="shared" ca="1" si="70"/>
        <v>(abra o arquivo 'Referência 05-2023.xls)</v>
      </c>
      <c r="AG176" s="549">
        <f t="shared" ca="1" si="71"/>
        <v>0</v>
      </c>
      <c r="AH176" s="550">
        <f t="shared" ca="1" si="72"/>
        <v>0.25</v>
      </c>
      <c r="AJ176" s="552"/>
      <c r="AL176" s="573"/>
      <c r="AM176" s="430">
        <f t="shared" ca="1" si="73"/>
        <v>0</v>
      </c>
      <c r="AN176" s="616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</v>
      </c>
      <c r="F177">
        <f t="shared" ca="1" si="54"/>
        <v>4</v>
      </c>
      <c r="G177">
        <f t="shared" ca="1" si="55"/>
        <v>0</v>
      </c>
      <c r="H177">
        <f t="shared" ca="1" si="56"/>
        <v>0</v>
      </c>
      <c r="I177">
        <f t="shared" ca="1" si="57"/>
        <v>1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3" t="str">
        <f t="shared" ca="1" si="59"/>
        <v/>
      </c>
      <c r="M177" s="144" t="s">
        <v>198</v>
      </c>
      <c r="N177" s="145" t="str">
        <f t="shared" ca="1" si="60"/>
        <v>Serviço</v>
      </c>
      <c r="O177" s="146" t="str">
        <f t="shared" ca="1" si="61"/>
        <v>-</v>
      </c>
      <c r="P177" s="147" t="s">
        <v>246</v>
      </c>
      <c r="Q177" s="148"/>
      <c r="R177" s="149" t="str">
        <f t="shared" ca="1" si="62"/>
        <v>(abra o arquivo 'Referência 05-2023.xls)</v>
      </c>
      <c r="S177" s="150" t="str">
        <f t="shared" ca="1" si="63"/>
        <v>-</v>
      </c>
      <c r="T177" s="151">
        <f ca="1">OFFSET(CÁLCULO!H$15,ROW($T177)-ROW(T$15),0)</f>
        <v>0</v>
      </c>
      <c r="U177" s="152"/>
      <c r="V177" s="153" t="s">
        <v>155</v>
      </c>
      <c r="W177" s="151">
        <f t="shared" ca="1" si="64"/>
        <v>0</v>
      </c>
      <c r="X177" s="154">
        <f t="shared" ca="1" si="65"/>
        <v>0</v>
      </c>
      <c r="Y177" s="155" t="s">
        <v>244</v>
      </c>
      <c r="Z177" t="str">
        <f t="shared" ca="1" si="66"/>
        <v/>
      </c>
      <c r="AA177" s="156">
        <f ca="1">IF($C177="S",IF($Z177="CP",$X177,IF($Z177="RA",(($X177)*QCI!$AA$3),0)),SomaAgrup)</f>
        <v>0</v>
      </c>
      <c r="AB177" s="157">
        <f t="shared" ca="1" si="67"/>
        <v>0</v>
      </c>
      <c r="AC177" s="158" t="str">
        <f t="shared" ca="1" si="68"/>
        <v/>
      </c>
      <c r="AD177" s="104" t="str">
        <f ca="1">IF(C177&lt;=CRONO.NivelExibicao,MAX($AD$15:OFFSET(AD177,-1,0))+IF($C177&lt;&gt;1,1,MAX(1,COUNTIF(QCI!$A$13:$A$24,OFFSET($E177,-1,0)))),"")</f>
        <v/>
      </c>
      <c r="AE177" s="114" t="b">
        <f t="shared" ca="1" si="69"/>
        <v>0</v>
      </c>
      <c r="AF177" s="159" t="str">
        <f t="shared" ca="1" si="70"/>
        <v>(abra o arquivo 'Referência 05-2023.xls)</v>
      </c>
      <c r="AG177" s="549">
        <f t="shared" ca="1" si="71"/>
        <v>0</v>
      </c>
      <c r="AH177" s="550">
        <f t="shared" ca="1" si="72"/>
        <v>0.25</v>
      </c>
      <c r="AJ177" s="552"/>
      <c r="AL177" s="573"/>
      <c r="AM177" s="430">
        <f t="shared" ca="1" si="73"/>
        <v>0</v>
      </c>
      <c r="AN177" s="616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4</v>
      </c>
      <c r="G178">
        <f t="shared" ca="1" si="55"/>
        <v>0</v>
      </c>
      <c r="H178">
        <f t="shared" ca="1" si="56"/>
        <v>0</v>
      </c>
      <c r="I178">
        <f t="shared" ca="1" si="57"/>
        <v>1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3" t="str">
        <f t="shared" ca="1" si="59"/>
        <v/>
      </c>
      <c r="M178" s="144" t="s">
        <v>198</v>
      </c>
      <c r="N178" s="145" t="str">
        <f t="shared" ca="1" si="60"/>
        <v>Serviço</v>
      </c>
      <c r="O178" s="146" t="str">
        <f t="shared" ca="1" si="61"/>
        <v>-</v>
      </c>
      <c r="P178" s="147" t="s">
        <v>246</v>
      </c>
      <c r="Q178" s="148"/>
      <c r="R178" s="149" t="str">
        <f t="shared" ca="1" si="62"/>
        <v>(abra o arquivo 'Referência 05-2023.xls)</v>
      </c>
      <c r="S178" s="150" t="str">
        <f t="shared" ca="1" si="63"/>
        <v>-</v>
      </c>
      <c r="T178" s="151">
        <f ca="1">OFFSET(CÁLCULO!H$15,ROW($T178)-ROW(T$15),0)</f>
        <v>0</v>
      </c>
      <c r="U178" s="152"/>
      <c r="V178" s="153" t="s">
        <v>155</v>
      </c>
      <c r="W178" s="151">
        <f t="shared" ca="1" si="64"/>
        <v>0</v>
      </c>
      <c r="X178" s="154">
        <f t="shared" ca="1" si="65"/>
        <v>0</v>
      </c>
      <c r="Y178" s="155" t="s">
        <v>244</v>
      </c>
      <c r="Z178" t="str">
        <f t="shared" ca="1" si="66"/>
        <v/>
      </c>
      <c r="AA178" s="156">
        <f ca="1">IF($C178="S",IF($Z178="CP",$X178,IF($Z178="RA",(($X178)*QCI!$AA$3),0)),SomaAgrup)</f>
        <v>0</v>
      </c>
      <c r="AB178" s="157">
        <f t="shared" ca="1" si="67"/>
        <v>0</v>
      </c>
      <c r="AC178" s="158" t="str">
        <f t="shared" ca="1" si="68"/>
        <v/>
      </c>
      <c r="AD178" s="104" t="str">
        <f ca="1">IF(C178&lt;=CRONO.NivelExibicao,MAX($AD$15:OFFSET(AD178,-1,0))+IF($C178&lt;&gt;1,1,MAX(1,COUNTIF(QCI!$A$13:$A$24,OFFSET($E178,-1,0)))),"")</f>
        <v/>
      </c>
      <c r="AE178" s="114" t="b">
        <f t="shared" ca="1" si="69"/>
        <v>0</v>
      </c>
      <c r="AF178" s="159" t="str">
        <f t="shared" ca="1" si="70"/>
        <v>(abra o arquivo 'Referência 05-2023.xls)</v>
      </c>
      <c r="AG178" s="549">
        <f t="shared" ca="1" si="71"/>
        <v>0</v>
      </c>
      <c r="AH178" s="550">
        <f t="shared" ca="1" si="72"/>
        <v>0.25</v>
      </c>
      <c r="AJ178" s="552"/>
      <c r="AL178" s="573"/>
      <c r="AM178" s="430">
        <f t="shared" ca="1" si="73"/>
        <v>0</v>
      </c>
      <c r="AN178" s="616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4</v>
      </c>
      <c r="G179">
        <f t="shared" ca="1" si="55"/>
        <v>0</v>
      </c>
      <c r="H179">
        <f t="shared" ca="1" si="56"/>
        <v>0</v>
      </c>
      <c r="I179">
        <f t="shared" ca="1" si="57"/>
        <v>1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3" t="str">
        <f t="shared" ca="1" si="59"/>
        <v/>
      </c>
      <c r="M179" s="144" t="s">
        <v>198</v>
      </c>
      <c r="N179" s="145" t="str">
        <f t="shared" ca="1" si="60"/>
        <v>Serviço</v>
      </c>
      <c r="O179" s="146" t="str">
        <f t="shared" ca="1" si="61"/>
        <v>-</v>
      </c>
      <c r="P179" s="147" t="s">
        <v>246</v>
      </c>
      <c r="Q179" s="148"/>
      <c r="R179" s="149" t="str">
        <f t="shared" ca="1" si="62"/>
        <v>(abra o arquivo 'Referência 05-2023.xls)</v>
      </c>
      <c r="S179" s="150" t="str">
        <f t="shared" ca="1" si="63"/>
        <v>-</v>
      </c>
      <c r="T179" s="151">
        <f ca="1">OFFSET(CÁLCULO!H$15,ROW($T179)-ROW(T$15),0)</f>
        <v>0</v>
      </c>
      <c r="U179" s="152"/>
      <c r="V179" s="153" t="s">
        <v>155</v>
      </c>
      <c r="W179" s="151">
        <f t="shared" ca="1" si="64"/>
        <v>0</v>
      </c>
      <c r="X179" s="154">
        <f t="shared" ca="1" si="65"/>
        <v>0</v>
      </c>
      <c r="Y179" s="155" t="s">
        <v>244</v>
      </c>
      <c r="Z179" t="str">
        <f t="shared" ca="1" si="66"/>
        <v/>
      </c>
      <c r="AA179" s="156">
        <f ca="1">IF($C179="S",IF($Z179="CP",$X179,IF($Z179="RA",(($X179)*QCI!$AA$3),0)),SomaAgrup)</f>
        <v>0</v>
      </c>
      <c r="AB179" s="157">
        <f t="shared" ca="1" si="67"/>
        <v>0</v>
      </c>
      <c r="AC179" s="158" t="str">
        <f t="shared" ca="1" si="68"/>
        <v/>
      </c>
      <c r="AD179" s="104" t="str">
        <f ca="1">IF(C179&lt;=CRONO.NivelExibicao,MAX($AD$15:OFFSET(AD179,-1,0))+IF($C179&lt;&gt;1,1,MAX(1,COUNTIF(QCI!$A$13:$A$24,OFFSET($E179,-1,0)))),"")</f>
        <v/>
      </c>
      <c r="AE179" s="114" t="b">
        <f t="shared" ca="1" si="69"/>
        <v>0</v>
      </c>
      <c r="AF179" s="159" t="str">
        <f t="shared" ca="1" si="70"/>
        <v>(abra o arquivo 'Referência 05-2023.xls)</v>
      </c>
      <c r="AG179" s="549">
        <f t="shared" ca="1" si="71"/>
        <v>0</v>
      </c>
      <c r="AH179" s="550">
        <f t="shared" ca="1" si="72"/>
        <v>0.25</v>
      </c>
      <c r="AJ179" s="552"/>
      <c r="AL179" s="573"/>
      <c r="AM179" s="430">
        <f t="shared" ca="1" si="73"/>
        <v>0</v>
      </c>
      <c r="AN179" s="616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4</v>
      </c>
      <c r="G180">
        <f t="shared" ca="1" si="55"/>
        <v>0</v>
      </c>
      <c r="H180">
        <f t="shared" ca="1" si="56"/>
        <v>0</v>
      </c>
      <c r="I180">
        <f t="shared" ca="1" si="57"/>
        <v>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3" t="str">
        <f t="shared" ca="1" si="59"/>
        <v/>
      </c>
      <c r="M180" s="144" t="s">
        <v>198</v>
      </c>
      <c r="N180" s="145" t="str">
        <f t="shared" ca="1" si="60"/>
        <v>Serviço</v>
      </c>
      <c r="O180" s="146" t="str">
        <f t="shared" ca="1" si="61"/>
        <v>-</v>
      </c>
      <c r="P180" s="147" t="s">
        <v>246</v>
      </c>
      <c r="Q180" s="148"/>
      <c r="R180" s="149" t="str">
        <f t="shared" ca="1" si="62"/>
        <v>(abra o arquivo 'Referência 05-2023.xls)</v>
      </c>
      <c r="S180" s="150" t="str">
        <f t="shared" ca="1" si="63"/>
        <v>-</v>
      </c>
      <c r="T180" s="151">
        <f ca="1">OFFSET(CÁLCULO!H$15,ROW($T180)-ROW(T$15),0)</f>
        <v>0</v>
      </c>
      <c r="U180" s="152"/>
      <c r="V180" s="153" t="s">
        <v>155</v>
      </c>
      <c r="W180" s="151">
        <f t="shared" ca="1" si="64"/>
        <v>0</v>
      </c>
      <c r="X180" s="154">
        <f t="shared" ca="1" si="65"/>
        <v>0</v>
      </c>
      <c r="Y180" s="155" t="s">
        <v>244</v>
      </c>
      <c r="Z180" t="str">
        <f t="shared" ca="1" si="66"/>
        <v/>
      </c>
      <c r="AA180" s="156">
        <f ca="1">IF($C180="S",IF($Z180="CP",$X180,IF($Z180="RA",(($X180)*QCI!$AA$3),0)),SomaAgrup)</f>
        <v>0</v>
      </c>
      <c r="AB180" s="157">
        <f t="shared" ca="1" si="67"/>
        <v>0</v>
      </c>
      <c r="AC180" s="158" t="str">
        <f t="shared" ca="1" si="68"/>
        <v/>
      </c>
      <c r="AD180" s="104" t="str">
        <f ca="1">IF(C180&lt;=CRONO.NivelExibicao,MAX($AD$15:OFFSET(AD180,-1,0))+IF($C180&lt;&gt;1,1,MAX(1,COUNTIF(QCI!$A$13:$A$24,OFFSET($E180,-1,0)))),"")</f>
        <v/>
      </c>
      <c r="AE180" s="114" t="b">
        <f t="shared" ca="1" si="69"/>
        <v>0</v>
      </c>
      <c r="AF180" s="159" t="str">
        <f t="shared" ca="1" si="70"/>
        <v>(abra o arquivo 'Referência 05-2023.xls)</v>
      </c>
      <c r="AG180" s="549">
        <f t="shared" ca="1" si="71"/>
        <v>0</v>
      </c>
      <c r="AH180" s="550">
        <f t="shared" ca="1" si="72"/>
        <v>0.25</v>
      </c>
      <c r="AJ180" s="552"/>
      <c r="AL180" s="573"/>
      <c r="AM180" s="430">
        <f t="shared" ca="1" si="73"/>
        <v>0</v>
      </c>
      <c r="AN180" s="616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4</v>
      </c>
      <c r="G181">
        <f t="shared" ca="1" si="55"/>
        <v>0</v>
      </c>
      <c r="H181">
        <f t="shared" ca="1" si="56"/>
        <v>0</v>
      </c>
      <c r="I181">
        <f t="shared" ca="1" si="57"/>
        <v>1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3" t="str">
        <f t="shared" ca="1" si="59"/>
        <v/>
      </c>
      <c r="M181" s="144" t="s">
        <v>198</v>
      </c>
      <c r="N181" s="145" t="str">
        <f t="shared" ca="1" si="60"/>
        <v>Serviço</v>
      </c>
      <c r="O181" s="146" t="str">
        <f t="shared" ca="1" si="61"/>
        <v>-</v>
      </c>
      <c r="P181" s="147" t="s">
        <v>246</v>
      </c>
      <c r="Q181" s="148"/>
      <c r="R181" s="149" t="str">
        <f t="shared" ca="1" si="62"/>
        <v>(abra o arquivo 'Referência 05-2023.xls)</v>
      </c>
      <c r="S181" s="150" t="str">
        <f t="shared" ca="1" si="63"/>
        <v>-</v>
      </c>
      <c r="T181" s="151">
        <f ca="1">OFFSET(CÁLCULO!H$15,ROW($T181)-ROW(T$15),0)</f>
        <v>0</v>
      </c>
      <c r="U181" s="152"/>
      <c r="V181" s="153" t="s">
        <v>155</v>
      </c>
      <c r="W181" s="151">
        <f t="shared" ca="1" si="64"/>
        <v>0</v>
      </c>
      <c r="X181" s="154">
        <f t="shared" ca="1" si="65"/>
        <v>0</v>
      </c>
      <c r="Y181" s="155" t="s">
        <v>244</v>
      </c>
      <c r="Z181" t="str">
        <f t="shared" ca="1" si="66"/>
        <v/>
      </c>
      <c r="AA181" s="156">
        <f ca="1">IF($C181="S",IF($Z181="CP",$X181,IF($Z181="RA",(($X181)*QCI!$AA$3),0)),SomaAgrup)</f>
        <v>0</v>
      </c>
      <c r="AB181" s="157">
        <f t="shared" ca="1" si="67"/>
        <v>0</v>
      </c>
      <c r="AC181" s="158" t="str">
        <f t="shared" ca="1" si="68"/>
        <v/>
      </c>
      <c r="AD181" s="104" t="str">
        <f ca="1">IF(C181&lt;=CRONO.NivelExibicao,MAX($AD$15:OFFSET(AD181,-1,0))+IF($C181&lt;&gt;1,1,MAX(1,COUNTIF(QCI!$A$13:$A$24,OFFSET($E181,-1,0)))),"")</f>
        <v/>
      </c>
      <c r="AE181" s="114" t="b">
        <f t="shared" ca="1" si="69"/>
        <v>0</v>
      </c>
      <c r="AF181" s="159" t="str">
        <f t="shared" ca="1" si="70"/>
        <v>(abra o arquivo 'Referência 05-2023.xls)</v>
      </c>
      <c r="AG181" s="549">
        <f t="shared" ca="1" si="71"/>
        <v>0</v>
      </c>
      <c r="AH181" s="550">
        <f t="shared" ca="1" si="72"/>
        <v>0.25</v>
      </c>
      <c r="AJ181" s="552"/>
      <c r="AL181" s="573"/>
      <c r="AM181" s="430">
        <f t="shared" ca="1" si="73"/>
        <v>0</v>
      </c>
      <c r="AN181" s="616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4</v>
      </c>
      <c r="G182">
        <f t="shared" ca="1" si="55"/>
        <v>0</v>
      </c>
      <c r="H182">
        <f t="shared" ca="1" si="56"/>
        <v>0</v>
      </c>
      <c r="I182">
        <f t="shared" ca="1" si="57"/>
        <v>1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3" t="str">
        <f t="shared" ca="1" si="59"/>
        <v/>
      </c>
      <c r="M182" s="144" t="s">
        <v>198</v>
      </c>
      <c r="N182" s="145" t="str">
        <f t="shared" ca="1" si="60"/>
        <v>Serviço</v>
      </c>
      <c r="O182" s="146" t="str">
        <f t="shared" ca="1" si="61"/>
        <v>-</v>
      </c>
      <c r="P182" s="147" t="s">
        <v>246</v>
      </c>
      <c r="Q182" s="148"/>
      <c r="R182" s="149" t="str">
        <f t="shared" ca="1" si="62"/>
        <v>(abra o arquivo 'Referência 05-2023.xls)</v>
      </c>
      <c r="S182" s="150" t="str">
        <f t="shared" ca="1" si="63"/>
        <v>-</v>
      </c>
      <c r="T182" s="151">
        <f ca="1">OFFSET(CÁLCULO!H$15,ROW($T182)-ROW(T$15),0)</f>
        <v>0</v>
      </c>
      <c r="U182" s="152"/>
      <c r="V182" s="153" t="s">
        <v>155</v>
      </c>
      <c r="W182" s="151">
        <f t="shared" ca="1" si="64"/>
        <v>0</v>
      </c>
      <c r="X182" s="154">
        <f t="shared" ca="1" si="65"/>
        <v>0</v>
      </c>
      <c r="Y182" s="155" t="s">
        <v>244</v>
      </c>
      <c r="Z182" t="str">
        <f t="shared" ca="1" si="66"/>
        <v/>
      </c>
      <c r="AA182" s="156">
        <f ca="1">IF($C182="S",IF($Z182="CP",$X182,IF($Z182="RA",(($X182)*QCI!$AA$3),0)),SomaAgrup)</f>
        <v>0</v>
      </c>
      <c r="AB182" s="157">
        <f t="shared" ca="1" si="67"/>
        <v>0</v>
      </c>
      <c r="AC182" s="158" t="str">
        <f t="shared" ca="1" si="68"/>
        <v/>
      </c>
      <c r="AD182" s="104" t="str">
        <f ca="1">IF(C182&lt;=CRONO.NivelExibicao,MAX($AD$15:OFFSET(AD182,-1,0))+IF($C182&lt;&gt;1,1,MAX(1,COUNTIF(QCI!$A$13:$A$24,OFFSET($E182,-1,0)))),"")</f>
        <v/>
      </c>
      <c r="AE182" s="114" t="b">
        <f t="shared" ca="1" si="69"/>
        <v>0</v>
      </c>
      <c r="AF182" s="159" t="str">
        <f t="shared" ca="1" si="70"/>
        <v>(abra o arquivo 'Referência 05-2023.xls)</v>
      </c>
      <c r="AG182" s="549">
        <f t="shared" ca="1" si="71"/>
        <v>0</v>
      </c>
      <c r="AH182" s="550">
        <f t="shared" ca="1" si="72"/>
        <v>0.25</v>
      </c>
      <c r="AJ182" s="552"/>
      <c r="AL182" s="573"/>
      <c r="AM182" s="430">
        <f t="shared" ca="1" si="73"/>
        <v>0</v>
      </c>
      <c r="AN182" s="616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4</v>
      </c>
      <c r="G183">
        <f t="shared" ca="1" si="55"/>
        <v>0</v>
      </c>
      <c r="H183">
        <f t="shared" ca="1" si="56"/>
        <v>0</v>
      </c>
      <c r="I183">
        <f t="shared" ca="1" si="57"/>
        <v>1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3" t="str">
        <f t="shared" ca="1" si="59"/>
        <v/>
      </c>
      <c r="M183" s="144" t="s">
        <v>198</v>
      </c>
      <c r="N183" s="145" t="str">
        <f t="shared" ca="1" si="60"/>
        <v>Serviço</v>
      </c>
      <c r="O183" s="146" t="str">
        <f t="shared" ca="1" si="61"/>
        <v>-</v>
      </c>
      <c r="P183" s="147" t="s">
        <v>246</v>
      </c>
      <c r="Q183" s="148"/>
      <c r="R183" s="149" t="str">
        <f t="shared" ca="1" si="62"/>
        <v>(abra o arquivo 'Referência 05-2023.xls)</v>
      </c>
      <c r="S183" s="150" t="str">
        <f t="shared" ca="1" si="63"/>
        <v>-</v>
      </c>
      <c r="T183" s="151">
        <f ca="1">OFFSET(CÁLCULO!H$15,ROW($T183)-ROW(T$15),0)</f>
        <v>0</v>
      </c>
      <c r="U183" s="152"/>
      <c r="V183" s="153" t="s">
        <v>155</v>
      </c>
      <c r="W183" s="151">
        <f t="shared" ca="1" si="64"/>
        <v>0</v>
      </c>
      <c r="X183" s="154">
        <f t="shared" ca="1" si="65"/>
        <v>0</v>
      </c>
      <c r="Y183" s="155" t="s">
        <v>244</v>
      </c>
      <c r="Z183" t="str">
        <f t="shared" ca="1" si="66"/>
        <v/>
      </c>
      <c r="AA183" s="156">
        <f ca="1">IF($C183="S",IF($Z183="CP",$X183,IF($Z183="RA",(($X183)*QCI!$AA$3),0)),SomaAgrup)</f>
        <v>0</v>
      </c>
      <c r="AB183" s="157">
        <f t="shared" ca="1" si="67"/>
        <v>0</v>
      </c>
      <c r="AC183" s="158" t="str">
        <f t="shared" ca="1" si="68"/>
        <v/>
      </c>
      <c r="AD183" s="104" t="str">
        <f ca="1">IF(C183&lt;=CRONO.NivelExibicao,MAX($AD$15:OFFSET(AD183,-1,0))+IF($C183&lt;&gt;1,1,MAX(1,COUNTIF(QCI!$A$13:$A$24,OFFSET($E183,-1,0)))),"")</f>
        <v/>
      </c>
      <c r="AE183" s="114" t="b">
        <f t="shared" ca="1" si="69"/>
        <v>0</v>
      </c>
      <c r="AF183" s="159" t="str">
        <f t="shared" ca="1" si="70"/>
        <v>(abra o arquivo 'Referência 05-2023.xls)</v>
      </c>
      <c r="AG183" s="549">
        <f t="shared" ca="1" si="71"/>
        <v>0</v>
      </c>
      <c r="AH183" s="550">
        <f t="shared" ca="1" si="72"/>
        <v>0.25</v>
      </c>
      <c r="AJ183" s="552"/>
      <c r="AL183" s="573"/>
      <c r="AM183" s="430">
        <f t="shared" ca="1" si="73"/>
        <v>0</v>
      </c>
      <c r="AN183" s="616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4</v>
      </c>
      <c r="G184">
        <f t="shared" ca="1" si="55"/>
        <v>0</v>
      </c>
      <c r="H184">
        <f t="shared" ca="1" si="56"/>
        <v>0</v>
      </c>
      <c r="I184">
        <f t="shared" ca="1" si="57"/>
        <v>1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3" t="str">
        <f t="shared" ca="1" si="59"/>
        <v/>
      </c>
      <c r="M184" s="144" t="s">
        <v>198</v>
      </c>
      <c r="N184" s="145" t="str">
        <f t="shared" ca="1" si="60"/>
        <v>Serviço</v>
      </c>
      <c r="O184" s="146" t="str">
        <f t="shared" ca="1" si="61"/>
        <v>-</v>
      </c>
      <c r="P184" s="147" t="s">
        <v>246</v>
      </c>
      <c r="Q184" s="148"/>
      <c r="R184" s="149" t="str">
        <f t="shared" ca="1" si="62"/>
        <v>(abra o arquivo 'Referência 05-2023.xls)</v>
      </c>
      <c r="S184" s="150" t="str">
        <f t="shared" ca="1" si="63"/>
        <v>-</v>
      </c>
      <c r="T184" s="151">
        <f ca="1">OFFSET(CÁLCULO!H$15,ROW($T184)-ROW(T$15),0)</f>
        <v>0</v>
      </c>
      <c r="U184" s="152"/>
      <c r="V184" s="153" t="s">
        <v>155</v>
      </c>
      <c r="W184" s="151">
        <f t="shared" ca="1" si="64"/>
        <v>0</v>
      </c>
      <c r="X184" s="154">
        <f t="shared" ca="1" si="65"/>
        <v>0</v>
      </c>
      <c r="Y184" s="155" t="s">
        <v>244</v>
      </c>
      <c r="Z184" t="str">
        <f t="shared" ca="1" si="66"/>
        <v/>
      </c>
      <c r="AA184" s="156">
        <f ca="1">IF($C184="S",IF($Z184="CP",$X184,IF($Z184="RA",(($X184)*QCI!$AA$3),0)),SomaAgrup)</f>
        <v>0</v>
      </c>
      <c r="AB184" s="157">
        <f t="shared" ca="1" si="67"/>
        <v>0</v>
      </c>
      <c r="AC184" s="158" t="str">
        <f t="shared" ca="1" si="68"/>
        <v/>
      </c>
      <c r="AD184" s="104" t="str">
        <f ca="1">IF(C184&lt;=CRONO.NivelExibicao,MAX($AD$15:OFFSET(AD184,-1,0))+IF($C184&lt;&gt;1,1,MAX(1,COUNTIF(QCI!$A$13:$A$24,OFFSET($E184,-1,0)))),"")</f>
        <v/>
      </c>
      <c r="AE184" s="114" t="b">
        <f t="shared" ca="1" si="69"/>
        <v>0</v>
      </c>
      <c r="AF184" s="159" t="str">
        <f t="shared" ca="1" si="70"/>
        <v>(abra o arquivo 'Referência 05-2023.xls)</v>
      </c>
      <c r="AG184" s="549">
        <f t="shared" ca="1" si="71"/>
        <v>0</v>
      </c>
      <c r="AH184" s="550">
        <f t="shared" ca="1" si="72"/>
        <v>0.25</v>
      </c>
      <c r="AJ184" s="552"/>
      <c r="AL184" s="573"/>
      <c r="AM184" s="430">
        <f t="shared" ca="1" si="73"/>
        <v>0</v>
      </c>
      <c r="AN184" s="616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4</v>
      </c>
      <c r="G185">
        <f t="shared" ca="1" si="55"/>
        <v>0</v>
      </c>
      <c r="H185">
        <f t="shared" ca="1" si="56"/>
        <v>0</v>
      </c>
      <c r="I185">
        <f t="shared" ca="1" si="57"/>
        <v>1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3" t="str">
        <f t="shared" ca="1" si="59"/>
        <v/>
      </c>
      <c r="M185" s="144" t="s">
        <v>198</v>
      </c>
      <c r="N185" s="145" t="str">
        <f t="shared" ca="1" si="60"/>
        <v>Serviço</v>
      </c>
      <c r="O185" s="146" t="str">
        <f t="shared" ca="1" si="61"/>
        <v>-</v>
      </c>
      <c r="P185" s="147" t="s">
        <v>246</v>
      </c>
      <c r="Q185" s="148"/>
      <c r="R185" s="149" t="str">
        <f t="shared" ca="1" si="62"/>
        <v>(abra o arquivo 'Referência 05-2023.xls)</v>
      </c>
      <c r="S185" s="150" t="str">
        <f t="shared" ca="1" si="63"/>
        <v>-</v>
      </c>
      <c r="T185" s="151">
        <f ca="1">OFFSET(CÁLCULO!H$15,ROW($T185)-ROW(T$15),0)</f>
        <v>0</v>
      </c>
      <c r="U185" s="152"/>
      <c r="V185" s="153" t="s">
        <v>155</v>
      </c>
      <c r="W185" s="151">
        <f t="shared" ca="1" si="64"/>
        <v>0</v>
      </c>
      <c r="X185" s="154">
        <f t="shared" ca="1" si="65"/>
        <v>0</v>
      </c>
      <c r="Y185" s="155" t="s">
        <v>244</v>
      </c>
      <c r="Z185" t="str">
        <f t="shared" ca="1" si="66"/>
        <v/>
      </c>
      <c r="AA185" s="156">
        <f ca="1">IF($C185="S",IF($Z185="CP",$X185,IF($Z185="RA",(($X185)*QCI!$AA$3),0)),SomaAgrup)</f>
        <v>0</v>
      </c>
      <c r="AB185" s="157">
        <f t="shared" ca="1" si="67"/>
        <v>0</v>
      </c>
      <c r="AC185" s="158" t="str">
        <f t="shared" ca="1" si="68"/>
        <v/>
      </c>
      <c r="AD185" s="104" t="str">
        <f ca="1">IF(C185&lt;=CRONO.NivelExibicao,MAX($AD$15:OFFSET(AD185,-1,0))+IF($C185&lt;&gt;1,1,MAX(1,COUNTIF(QCI!$A$13:$A$24,OFFSET($E185,-1,0)))),"")</f>
        <v/>
      </c>
      <c r="AE185" s="114" t="b">
        <f t="shared" ca="1" si="69"/>
        <v>0</v>
      </c>
      <c r="AF185" s="159" t="str">
        <f t="shared" ca="1" si="70"/>
        <v>(abra o arquivo 'Referência 05-2023.xls)</v>
      </c>
      <c r="AG185" s="549">
        <f t="shared" ca="1" si="71"/>
        <v>0</v>
      </c>
      <c r="AH185" s="550">
        <f t="shared" ca="1" si="72"/>
        <v>0.25</v>
      </c>
      <c r="AJ185" s="552"/>
      <c r="AL185" s="573"/>
      <c r="AM185" s="430">
        <f t="shared" ca="1" si="73"/>
        <v>0</v>
      </c>
      <c r="AN185" s="616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4</v>
      </c>
      <c r="G186">
        <f t="shared" ca="1" si="55"/>
        <v>0</v>
      </c>
      <c r="H186">
        <f t="shared" ca="1" si="56"/>
        <v>0</v>
      </c>
      <c r="I186">
        <f t="shared" ca="1" si="57"/>
        <v>1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3" t="str">
        <f t="shared" ca="1" si="59"/>
        <v/>
      </c>
      <c r="M186" s="144" t="s">
        <v>198</v>
      </c>
      <c r="N186" s="145" t="str">
        <f t="shared" ca="1" si="60"/>
        <v>Serviço</v>
      </c>
      <c r="O186" s="146" t="str">
        <f t="shared" ca="1" si="61"/>
        <v>-</v>
      </c>
      <c r="P186" s="147" t="s">
        <v>246</v>
      </c>
      <c r="Q186" s="148"/>
      <c r="R186" s="149" t="str">
        <f t="shared" ca="1" si="62"/>
        <v>(abra o arquivo 'Referência 05-2023.xls)</v>
      </c>
      <c r="S186" s="150" t="str">
        <f t="shared" ca="1" si="63"/>
        <v>-</v>
      </c>
      <c r="T186" s="151">
        <f ca="1">OFFSET(CÁLCULO!H$15,ROW($T186)-ROW(T$15),0)</f>
        <v>0</v>
      </c>
      <c r="U186" s="152"/>
      <c r="V186" s="153" t="s">
        <v>155</v>
      </c>
      <c r="W186" s="151">
        <f t="shared" ca="1" si="64"/>
        <v>0</v>
      </c>
      <c r="X186" s="154">
        <f t="shared" ca="1" si="65"/>
        <v>0</v>
      </c>
      <c r="Y186" s="155" t="s">
        <v>244</v>
      </c>
      <c r="Z186" t="str">
        <f t="shared" ca="1" si="66"/>
        <v/>
      </c>
      <c r="AA186" s="156">
        <f ca="1">IF($C186="S",IF($Z186="CP",$X186,IF($Z186="RA",(($X186)*QCI!$AA$3),0)),SomaAgrup)</f>
        <v>0</v>
      </c>
      <c r="AB186" s="157">
        <f t="shared" ca="1" si="67"/>
        <v>0</v>
      </c>
      <c r="AC186" s="158" t="str">
        <f t="shared" ca="1" si="68"/>
        <v/>
      </c>
      <c r="AD186" s="104" t="str">
        <f ca="1">IF(C186&lt;=CRONO.NivelExibicao,MAX($AD$15:OFFSET(AD186,-1,0))+IF($C186&lt;&gt;1,1,MAX(1,COUNTIF(QCI!$A$13:$A$24,OFFSET($E186,-1,0)))),"")</f>
        <v/>
      </c>
      <c r="AE186" s="114" t="b">
        <f t="shared" ca="1" si="69"/>
        <v>0</v>
      </c>
      <c r="AF186" s="159" t="str">
        <f t="shared" ca="1" si="70"/>
        <v>(abra o arquivo 'Referência 05-2023.xls)</v>
      </c>
      <c r="AG186" s="549">
        <f t="shared" ca="1" si="71"/>
        <v>0</v>
      </c>
      <c r="AH186" s="550">
        <f t="shared" ca="1" si="72"/>
        <v>0.25</v>
      </c>
      <c r="AJ186" s="552"/>
      <c r="AL186" s="573"/>
      <c r="AM186" s="430">
        <f t="shared" ca="1" si="73"/>
        <v>0</v>
      </c>
      <c r="AN186" s="616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4</v>
      </c>
      <c r="G187">
        <f t="shared" ca="1" si="55"/>
        <v>0</v>
      </c>
      <c r="H187">
        <f t="shared" ca="1" si="56"/>
        <v>0</v>
      </c>
      <c r="I187">
        <f t="shared" ca="1" si="57"/>
        <v>1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3" t="str">
        <f t="shared" ca="1" si="59"/>
        <v/>
      </c>
      <c r="M187" s="144" t="s">
        <v>198</v>
      </c>
      <c r="N187" s="145" t="str">
        <f t="shared" ca="1" si="60"/>
        <v>Serviço</v>
      </c>
      <c r="O187" s="146" t="str">
        <f t="shared" ca="1" si="61"/>
        <v>-</v>
      </c>
      <c r="P187" s="147" t="s">
        <v>246</v>
      </c>
      <c r="Q187" s="148"/>
      <c r="R187" s="149" t="str">
        <f t="shared" ca="1" si="62"/>
        <v>(abra o arquivo 'Referência 05-2023.xls)</v>
      </c>
      <c r="S187" s="150" t="str">
        <f t="shared" ca="1" si="63"/>
        <v>-</v>
      </c>
      <c r="T187" s="151">
        <f ca="1">OFFSET(CÁLCULO!H$15,ROW($T187)-ROW(T$15),0)</f>
        <v>0</v>
      </c>
      <c r="U187" s="152"/>
      <c r="V187" s="153" t="s">
        <v>155</v>
      </c>
      <c r="W187" s="151">
        <f t="shared" ca="1" si="64"/>
        <v>0</v>
      </c>
      <c r="X187" s="154">
        <f t="shared" ca="1" si="65"/>
        <v>0</v>
      </c>
      <c r="Y187" s="155" t="s">
        <v>244</v>
      </c>
      <c r="Z187" t="str">
        <f t="shared" ca="1" si="66"/>
        <v/>
      </c>
      <c r="AA187" s="156">
        <f ca="1">IF($C187="S",IF($Z187="CP",$X187,IF($Z187="RA",(($X187)*QCI!$AA$3),0)),SomaAgrup)</f>
        <v>0</v>
      </c>
      <c r="AB187" s="157">
        <f t="shared" ca="1" si="67"/>
        <v>0</v>
      </c>
      <c r="AC187" s="158" t="str">
        <f t="shared" ca="1" si="68"/>
        <v/>
      </c>
      <c r="AD187" s="104" t="str">
        <f ca="1">IF(C187&lt;=CRONO.NivelExibicao,MAX($AD$15:OFFSET(AD187,-1,0))+IF($C187&lt;&gt;1,1,MAX(1,COUNTIF(QCI!$A$13:$A$24,OFFSET($E187,-1,0)))),"")</f>
        <v/>
      </c>
      <c r="AE187" s="114" t="b">
        <f t="shared" ca="1" si="69"/>
        <v>0</v>
      </c>
      <c r="AF187" s="159" t="str">
        <f t="shared" ca="1" si="70"/>
        <v>(abra o arquivo 'Referência 05-2023.xls)</v>
      </c>
      <c r="AG187" s="549">
        <f t="shared" ca="1" si="71"/>
        <v>0</v>
      </c>
      <c r="AH187" s="550">
        <f t="shared" ca="1" si="72"/>
        <v>0.25</v>
      </c>
      <c r="AJ187" s="552"/>
      <c r="AL187" s="573"/>
      <c r="AM187" s="430">
        <f t="shared" ca="1" si="73"/>
        <v>0</v>
      </c>
      <c r="AN187" s="616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4</v>
      </c>
      <c r="G188">
        <f t="shared" ca="1" si="55"/>
        <v>0</v>
      </c>
      <c r="H188">
        <f t="shared" ca="1" si="56"/>
        <v>0</v>
      </c>
      <c r="I188">
        <f t="shared" ca="1" si="57"/>
        <v>1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3" t="str">
        <f t="shared" ca="1" si="59"/>
        <v/>
      </c>
      <c r="M188" s="144" t="s">
        <v>198</v>
      </c>
      <c r="N188" s="145" t="str">
        <f t="shared" ca="1" si="60"/>
        <v>Serviço</v>
      </c>
      <c r="O188" s="146" t="str">
        <f t="shared" ca="1" si="61"/>
        <v>-</v>
      </c>
      <c r="P188" s="147" t="s">
        <v>246</v>
      </c>
      <c r="Q188" s="148"/>
      <c r="R188" s="149" t="str">
        <f t="shared" ca="1" si="62"/>
        <v>(abra o arquivo 'Referência 05-2023.xls)</v>
      </c>
      <c r="S188" s="150" t="str">
        <f t="shared" ca="1" si="63"/>
        <v>-</v>
      </c>
      <c r="T188" s="151">
        <f ca="1">OFFSET(CÁLCULO!H$15,ROW($T188)-ROW(T$15),0)</f>
        <v>0</v>
      </c>
      <c r="U188" s="152"/>
      <c r="V188" s="153" t="s">
        <v>155</v>
      </c>
      <c r="W188" s="151">
        <f t="shared" ca="1" si="64"/>
        <v>0</v>
      </c>
      <c r="X188" s="154">
        <f t="shared" ca="1" si="65"/>
        <v>0</v>
      </c>
      <c r="Y188" s="155" t="s">
        <v>244</v>
      </c>
      <c r="Z188" t="str">
        <f t="shared" ca="1" si="66"/>
        <v/>
      </c>
      <c r="AA188" s="156">
        <f ca="1">IF($C188="S",IF($Z188="CP",$X188,IF($Z188="RA",(($X188)*QCI!$AA$3),0)),SomaAgrup)</f>
        <v>0</v>
      </c>
      <c r="AB188" s="157">
        <f t="shared" ca="1" si="67"/>
        <v>0</v>
      </c>
      <c r="AC188" s="158" t="str">
        <f t="shared" ca="1" si="68"/>
        <v/>
      </c>
      <c r="AD188" s="104" t="str">
        <f ca="1">IF(C188&lt;=CRONO.NivelExibicao,MAX($AD$15:OFFSET(AD188,-1,0))+IF($C188&lt;&gt;1,1,MAX(1,COUNTIF(QCI!$A$13:$A$24,OFFSET($E188,-1,0)))),"")</f>
        <v/>
      </c>
      <c r="AE188" s="114" t="b">
        <f t="shared" ca="1" si="69"/>
        <v>0</v>
      </c>
      <c r="AF188" s="159" t="str">
        <f t="shared" ca="1" si="70"/>
        <v>(abra o arquivo 'Referência 05-2023.xls)</v>
      </c>
      <c r="AG188" s="549">
        <f t="shared" ca="1" si="71"/>
        <v>0</v>
      </c>
      <c r="AH188" s="550">
        <f t="shared" ca="1" si="72"/>
        <v>0.25</v>
      </c>
      <c r="AJ188" s="552"/>
      <c r="AL188" s="573"/>
      <c r="AM188" s="430">
        <f t="shared" ca="1" si="73"/>
        <v>0</v>
      </c>
      <c r="AN188" s="616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4</v>
      </c>
      <c r="G189">
        <f t="shared" ca="1" si="55"/>
        <v>0</v>
      </c>
      <c r="H189">
        <f t="shared" ca="1" si="56"/>
        <v>0</v>
      </c>
      <c r="I189">
        <f t="shared" ca="1" si="57"/>
        <v>1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3" t="str">
        <f t="shared" ca="1" si="59"/>
        <v/>
      </c>
      <c r="M189" s="144" t="s">
        <v>198</v>
      </c>
      <c r="N189" s="145" t="str">
        <f t="shared" ca="1" si="60"/>
        <v>Serviço</v>
      </c>
      <c r="O189" s="146" t="str">
        <f t="shared" ca="1" si="61"/>
        <v>-</v>
      </c>
      <c r="P189" s="147" t="s">
        <v>246</v>
      </c>
      <c r="Q189" s="148"/>
      <c r="R189" s="149" t="str">
        <f t="shared" ca="1" si="62"/>
        <v>(abra o arquivo 'Referência 05-2023.xls)</v>
      </c>
      <c r="S189" s="150" t="str">
        <f t="shared" ca="1" si="63"/>
        <v>-</v>
      </c>
      <c r="T189" s="151">
        <f ca="1">OFFSET(CÁLCULO!H$15,ROW($T189)-ROW(T$15),0)</f>
        <v>0</v>
      </c>
      <c r="U189" s="152"/>
      <c r="V189" s="153" t="s">
        <v>155</v>
      </c>
      <c r="W189" s="151">
        <f t="shared" ca="1" si="64"/>
        <v>0</v>
      </c>
      <c r="X189" s="154">
        <f t="shared" ca="1" si="65"/>
        <v>0</v>
      </c>
      <c r="Y189" s="155" t="s">
        <v>244</v>
      </c>
      <c r="Z189" t="str">
        <f t="shared" ca="1" si="66"/>
        <v/>
      </c>
      <c r="AA189" s="156">
        <f ca="1">IF($C189="S",IF($Z189="CP",$X189,IF($Z189="RA",(($X189)*QCI!$AA$3),0)),SomaAgrup)</f>
        <v>0</v>
      </c>
      <c r="AB189" s="157">
        <f t="shared" ca="1" si="67"/>
        <v>0</v>
      </c>
      <c r="AC189" s="158" t="str">
        <f t="shared" ca="1" si="68"/>
        <v/>
      </c>
      <c r="AD189" s="104" t="str">
        <f ca="1">IF(C189&lt;=CRONO.NivelExibicao,MAX($AD$15:OFFSET(AD189,-1,0))+IF($C189&lt;&gt;1,1,MAX(1,COUNTIF(QCI!$A$13:$A$24,OFFSET($E189,-1,0)))),"")</f>
        <v/>
      </c>
      <c r="AE189" s="114" t="b">
        <f t="shared" ca="1" si="69"/>
        <v>0</v>
      </c>
      <c r="AF189" s="159" t="str">
        <f t="shared" ca="1" si="70"/>
        <v>(abra o arquivo 'Referência 05-2023.xls)</v>
      </c>
      <c r="AG189" s="549">
        <f t="shared" ca="1" si="71"/>
        <v>0</v>
      </c>
      <c r="AH189" s="550">
        <f t="shared" ca="1" si="72"/>
        <v>0.25</v>
      </c>
      <c r="AJ189" s="552"/>
      <c r="AL189" s="573"/>
      <c r="AM189" s="430">
        <f t="shared" ca="1" si="73"/>
        <v>0</v>
      </c>
      <c r="AN189" s="616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4</v>
      </c>
      <c r="G190">
        <f t="shared" ca="1" si="55"/>
        <v>0</v>
      </c>
      <c r="H190">
        <f t="shared" ca="1" si="56"/>
        <v>0</v>
      </c>
      <c r="I190">
        <f t="shared" ca="1" si="57"/>
        <v>1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3" t="str">
        <f t="shared" ca="1" si="59"/>
        <v/>
      </c>
      <c r="M190" s="144" t="s">
        <v>198</v>
      </c>
      <c r="N190" s="145" t="str">
        <f t="shared" ca="1" si="60"/>
        <v>Serviço</v>
      </c>
      <c r="O190" s="146" t="str">
        <f t="shared" ca="1" si="61"/>
        <v>-</v>
      </c>
      <c r="P190" s="147" t="s">
        <v>246</v>
      </c>
      <c r="Q190" s="148"/>
      <c r="R190" s="149" t="str">
        <f t="shared" ca="1" si="62"/>
        <v>(abra o arquivo 'Referência 05-2023.xls)</v>
      </c>
      <c r="S190" s="150" t="str">
        <f t="shared" ca="1" si="63"/>
        <v>-</v>
      </c>
      <c r="T190" s="151">
        <f ca="1">OFFSET(CÁLCULO!H$15,ROW($T190)-ROW(T$15),0)</f>
        <v>0</v>
      </c>
      <c r="U190" s="152"/>
      <c r="V190" s="153" t="s">
        <v>155</v>
      </c>
      <c r="W190" s="151">
        <f t="shared" ca="1" si="64"/>
        <v>0</v>
      </c>
      <c r="X190" s="154">
        <f t="shared" ca="1" si="65"/>
        <v>0</v>
      </c>
      <c r="Y190" s="155" t="s">
        <v>244</v>
      </c>
      <c r="Z190" t="str">
        <f t="shared" ca="1" si="66"/>
        <v/>
      </c>
      <c r="AA190" s="156">
        <f ca="1">IF($C190="S",IF($Z190="CP",$X190,IF($Z190="RA",(($X190)*QCI!$AA$3),0)),SomaAgrup)</f>
        <v>0</v>
      </c>
      <c r="AB190" s="157">
        <f t="shared" ca="1" si="67"/>
        <v>0</v>
      </c>
      <c r="AC190" s="158" t="str">
        <f t="shared" ca="1" si="68"/>
        <v/>
      </c>
      <c r="AD190" s="104" t="str">
        <f ca="1">IF(C190&lt;=CRONO.NivelExibicao,MAX($AD$15:OFFSET(AD190,-1,0))+IF($C190&lt;&gt;1,1,MAX(1,COUNTIF(QCI!$A$13:$A$24,OFFSET($E190,-1,0)))),"")</f>
        <v/>
      </c>
      <c r="AE190" s="114" t="b">
        <f t="shared" ca="1" si="69"/>
        <v>0</v>
      </c>
      <c r="AF190" s="159" t="str">
        <f t="shared" ca="1" si="70"/>
        <v>(abra o arquivo 'Referência 05-2023.xls)</v>
      </c>
      <c r="AG190" s="549">
        <f t="shared" ca="1" si="71"/>
        <v>0</v>
      </c>
      <c r="AH190" s="550">
        <f t="shared" ca="1" si="72"/>
        <v>0.25</v>
      </c>
      <c r="AJ190" s="552"/>
      <c r="AL190" s="573"/>
      <c r="AM190" s="430">
        <f t="shared" ca="1" si="73"/>
        <v>0</v>
      </c>
      <c r="AN190" s="616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4</v>
      </c>
      <c r="G191">
        <f t="shared" ca="1" si="55"/>
        <v>0</v>
      </c>
      <c r="H191">
        <f t="shared" ca="1" si="56"/>
        <v>0</v>
      </c>
      <c r="I191">
        <f t="shared" ca="1" si="57"/>
        <v>1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3" t="str">
        <f t="shared" ca="1" si="59"/>
        <v/>
      </c>
      <c r="M191" s="144" t="s">
        <v>198</v>
      </c>
      <c r="N191" s="145" t="str">
        <f t="shared" ca="1" si="60"/>
        <v>Serviço</v>
      </c>
      <c r="O191" s="146" t="str">
        <f t="shared" ca="1" si="61"/>
        <v>-</v>
      </c>
      <c r="P191" s="147" t="s">
        <v>246</v>
      </c>
      <c r="Q191" s="148"/>
      <c r="R191" s="149" t="str">
        <f t="shared" ca="1" si="62"/>
        <v>(abra o arquivo 'Referência 05-2023.xls)</v>
      </c>
      <c r="S191" s="150" t="str">
        <f t="shared" ca="1" si="63"/>
        <v>-</v>
      </c>
      <c r="T191" s="151">
        <f ca="1">OFFSET(CÁLCULO!H$15,ROW($T191)-ROW(T$15),0)</f>
        <v>0</v>
      </c>
      <c r="U191" s="152"/>
      <c r="V191" s="153" t="s">
        <v>155</v>
      </c>
      <c r="W191" s="151">
        <f t="shared" ca="1" si="64"/>
        <v>0</v>
      </c>
      <c r="X191" s="154">
        <f t="shared" ca="1" si="65"/>
        <v>0</v>
      </c>
      <c r="Y191" s="155" t="s">
        <v>244</v>
      </c>
      <c r="Z191" t="str">
        <f t="shared" ca="1" si="66"/>
        <v/>
      </c>
      <c r="AA191" s="156">
        <f ca="1">IF($C191="S",IF($Z191="CP",$X191,IF($Z191="RA",(($X191)*QCI!$AA$3),0)),SomaAgrup)</f>
        <v>0</v>
      </c>
      <c r="AB191" s="157">
        <f t="shared" ca="1" si="67"/>
        <v>0</v>
      </c>
      <c r="AC191" s="158" t="str">
        <f t="shared" ca="1" si="68"/>
        <v/>
      </c>
      <c r="AD191" s="104" t="str">
        <f ca="1">IF(C191&lt;=CRONO.NivelExibicao,MAX($AD$15:OFFSET(AD191,-1,0))+IF($C191&lt;&gt;1,1,MAX(1,COUNTIF(QCI!$A$13:$A$24,OFFSET($E191,-1,0)))),"")</f>
        <v/>
      </c>
      <c r="AE191" s="114" t="b">
        <f t="shared" ca="1" si="69"/>
        <v>0</v>
      </c>
      <c r="AF191" s="159" t="str">
        <f t="shared" ca="1" si="70"/>
        <v>(abra o arquivo 'Referência 05-2023.xls)</v>
      </c>
      <c r="AG191" s="549">
        <f t="shared" ca="1" si="71"/>
        <v>0</v>
      </c>
      <c r="AH191" s="550">
        <f t="shared" ca="1" si="72"/>
        <v>0.25</v>
      </c>
      <c r="AJ191" s="552"/>
      <c r="AL191" s="573"/>
      <c r="AM191" s="430">
        <f t="shared" ca="1" si="73"/>
        <v>0</v>
      </c>
      <c r="AN191" s="616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4</v>
      </c>
      <c r="G192">
        <f t="shared" ca="1" si="55"/>
        <v>0</v>
      </c>
      <c r="H192">
        <f t="shared" ca="1" si="56"/>
        <v>0</v>
      </c>
      <c r="I192">
        <f t="shared" ca="1" si="57"/>
        <v>1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3" t="str">
        <f t="shared" ca="1" si="59"/>
        <v/>
      </c>
      <c r="M192" s="144" t="s">
        <v>198</v>
      </c>
      <c r="N192" s="145" t="str">
        <f t="shared" ca="1" si="60"/>
        <v>Serviço</v>
      </c>
      <c r="O192" s="146" t="str">
        <f t="shared" ca="1" si="61"/>
        <v>-</v>
      </c>
      <c r="P192" s="147" t="s">
        <v>246</v>
      </c>
      <c r="Q192" s="148"/>
      <c r="R192" s="149" t="str">
        <f t="shared" ca="1" si="62"/>
        <v>(abra o arquivo 'Referência 05-2023.xls)</v>
      </c>
      <c r="S192" s="150" t="str">
        <f t="shared" ca="1" si="63"/>
        <v>-</v>
      </c>
      <c r="T192" s="151">
        <f ca="1">OFFSET(CÁLCULO!H$15,ROW($T192)-ROW(T$15),0)</f>
        <v>0</v>
      </c>
      <c r="U192" s="152"/>
      <c r="V192" s="153" t="s">
        <v>155</v>
      </c>
      <c r="W192" s="151">
        <f t="shared" ca="1" si="64"/>
        <v>0</v>
      </c>
      <c r="X192" s="154">
        <f t="shared" ca="1" si="65"/>
        <v>0</v>
      </c>
      <c r="Y192" s="155" t="s">
        <v>244</v>
      </c>
      <c r="Z192" t="str">
        <f t="shared" ca="1" si="66"/>
        <v/>
      </c>
      <c r="AA192" s="156">
        <f ca="1">IF($C192="S",IF($Z192="CP",$X192,IF($Z192="RA",(($X192)*QCI!$AA$3),0)),SomaAgrup)</f>
        <v>0</v>
      </c>
      <c r="AB192" s="157">
        <f t="shared" ca="1" si="67"/>
        <v>0</v>
      </c>
      <c r="AC192" s="158" t="str">
        <f t="shared" ca="1" si="68"/>
        <v/>
      </c>
      <c r="AD192" s="104" t="str">
        <f ca="1">IF(C192&lt;=CRONO.NivelExibicao,MAX($AD$15:OFFSET(AD192,-1,0))+IF($C192&lt;&gt;1,1,MAX(1,COUNTIF(QCI!$A$13:$A$24,OFFSET($E192,-1,0)))),"")</f>
        <v/>
      </c>
      <c r="AE192" s="114" t="b">
        <f t="shared" ca="1" si="69"/>
        <v>0</v>
      </c>
      <c r="AF192" s="159" t="str">
        <f t="shared" ca="1" si="70"/>
        <v>(abra o arquivo 'Referência 05-2023.xls)</v>
      </c>
      <c r="AG192" s="549">
        <f t="shared" ca="1" si="71"/>
        <v>0</v>
      </c>
      <c r="AH192" s="550">
        <f t="shared" ca="1" si="72"/>
        <v>0.25</v>
      </c>
      <c r="AJ192" s="552"/>
      <c r="AL192" s="573"/>
      <c r="AM192" s="430">
        <f t="shared" ca="1" si="73"/>
        <v>0</v>
      </c>
      <c r="AN192" s="616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4</v>
      </c>
      <c r="G193">
        <f t="shared" ca="1" si="55"/>
        <v>0</v>
      </c>
      <c r="H193">
        <f t="shared" ca="1" si="56"/>
        <v>0</v>
      </c>
      <c r="I193">
        <f t="shared" ca="1" si="57"/>
        <v>1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3" t="str">
        <f t="shared" ca="1" si="59"/>
        <v/>
      </c>
      <c r="M193" s="144" t="s">
        <v>198</v>
      </c>
      <c r="N193" s="145" t="str">
        <f t="shared" ca="1" si="60"/>
        <v>Serviço</v>
      </c>
      <c r="O193" s="146" t="str">
        <f t="shared" ca="1" si="61"/>
        <v>-</v>
      </c>
      <c r="P193" s="147" t="s">
        <v>246</v>
      </c>
      <c r="Q193" s="148"/>
      <c r="R193" s="149" t="str">
        <f t="shared" ca="1" si="62"/>
        <v>(abra o arquivo 'Referência 05-2023.xls)</v>
      </c>
      <c r="S193" s="150" t="str">
        <f t="shared" ca="1" si="63"/>
        <v>-</v>
      </c>
      <c r="T193" s="151">
        <f ca="1">OFFSET(CÁLCULO!H$15,ROW($T193)-ROW(T$15),0)</f>
        <v>0</v>
      </c>
      <c r="U193" s="152"/>
      <c r="V193" s="153" t="s">
        <v>155</v>
      </c>
      <c r="W193" s="151">
        <f t="shared" ca="1" si="64"/>
        <v>0</v>
      </c>
      <c r="X193" s="154">
        <f t="shared" ca="1" si="65"/>
        <v>0</v>
      </c>
      <c r="Y193" s="155" t="s">
        <v>244</v>
      </c>
      <c r="Z193" t="str">
        <f t="shared" ca="1" si="66"/>
        <v/>
      </c>
      <c r="AA193" s="156">
        <f ca="1">IF($C193="S",IF($Z193="CP",$X193,IF($Z193="RA",(($X193)*QCI!$AA$3),0)),SomaAgrup)</f>
        <v>0</v>
      </c>
      <c r="AB193" s="157">
        <f t="shared" ca="1" si="67"/>
        <v>0</v>
      </c>
      <c r="AC193" s="158" t="str">
        <f t="shared" ca="1" si="68"/>
        <v/>
      </c>
      <c r="AD193" s="104" t="str">
        <f ca="1">IF(C193&lt;=CRONO.NivelExibicao,MAX($AD$15:OFFSET(AD193,-1,0))+IF($C193&lt;&gt;1,1,MAX(1,COUNTIF(QCI!$A$13:$A$24,OFFSET($E193,-1,0)))),"")</f>
        <v/>
      </c>
      <c r="AE193" s="114" t="b">
        <f t="shared" ca="1" si="69"/>
        <v>0</v>
      </c>
      <c r="AF193" s="159" t="str">
        <f t="shared" ca="1" si="70"/>
        <v>(abra o arquivo 'Referência 05-2023.xls)</v>
      </c>
      <c r="AG193" s="549">
        <f t="shared" ca="1" si="71"/>
        <v>0</v>
      </c>
      <c r="AH193" s="550">
        <f t="shared" ca="1" si="72"/>
        <v>0.25</v>
      </c>
      <c r="AJ193" s="552"/>
      <c r="AL193" s="573"/>
      <c r="AM193" s="430">
        <f t="shared" ca="1" si="73"/>
        <v>0</v>
      </c>
      <c r="AN193" s="616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</v>
      </c>
      <c r="F194">
        <f t="shared" ca="1" si="54"/>
        <v>4</v>
      </c>
      <c r="G194">
        <f t="shared" ca="1" si="55"/>
        <v>0</v>
      </c>
      <c r="H194">
        <f t="shared" ca="1" si="56"/>
        <v>0</v>
      </c>
      <c r="I194">
        <f t="shared" ca="1" si="57"/>
        <v>1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3" t="str">
        <f t="shared" ca="1" si="59"/>
        <v/>
      </c>
      <c r="M194" s="144" t="s">
        <v>198</v>
      </c>
      <c r="N194" s="145" t="str">
        <f t="shared" ca="1" si="60"/>
        <v>Serviço</v>
      </c>
      <c r="O194" s="146" t="str">
        <f t="shared" ca="1" si="61"/>
        <v>-</v>
      </c>
      <c r="P194" s="147" t="s">
        <v>246</v>
      </c>
      <c r="Q194" s="148"/>
      <c r="R194" s="149" t="str">
        <f t="shared" ca="1" si="62"/>
        <v>(abra o arquivo 'Referência 05-2023.xls)</v>
      </c>
      <c r="S194" s="150" t="str">
        <f t="shared" ca="1" si="63"/>
        <v>-</v>
      </c>
      <c r="T194" s="151">
        <f ca="1">OFFSET(CÁLCULO!H$15,ROW($T194)-ROW(T$15),0)</f>
        <v>0</v>
      </c>
      <c r="U194" s="152"/>
      <c r="V194" s="153" t="s">
        <v>155</v>
      </c>
      <c r="W194" s="151">
        <f t="shared" ca="1" si="64"/>
        <v>0</v>
      </c>
      <c r="X194" s="154">
        <f t="shared" ca="1" si="65"/>
        <v>0</v>
      </c>
      <c r="Y194" s="155" t="s">
        <v>244</v>
      </c>
      <c r="Z194" t="str">
        <f t="shared" ca="1" si="66"/>
        <v/>
      </c>
      <c r="AA194" s="156">
        <f ca="1">IF($C194="S",IF($Z194="CP",$X194,IF($Z194="RA",(($X194)*QCI!$AA$3),0)),SomaAgrup)</f>
        <v>0</v>
      </c>
      <c r="AB194" s="157">
        <f t="shared" ca="1" si="67"/>
        <v>0</v>
      </c>
      <c r="AC194" s="158" t="str">
        <f t="shared" ca="1" si="68"/>
        <v/>
      </c>
      <c r="AD194" s="104" t="str">
        <f ca="1">IF(C194&lt;=CRONO.NivelExibicao,MAX($AD$15:OFFSET(AD194,-1,0))+IF($C194&lt;&gt;1,1,MAX(1,COUNTIF(QCI!$A$13:$A$24,OFFSET($E194,-1,0)))),"")</f>
        <v/>
      </c>
      <c r="AE194" s="114" t="b">
        <f t="shared" ca="1" si="69"/>
        <v>0</v>
      </c>
      <c r="AF194" s="159" t="str">
        <f t="shared" ca="1" si="70"/>
        <v>(abra o arquivo 'Referência 05-2023.xls)</v>
      </c>
      <c r="AG194" s="549">
        <f t="shared" ca="1" si="71"/>
        <v>0</v>
      </c>
      <c r="AH194" s="550">
        <f t="shared" ca="1" si="72"/>
        <v>0.25</v>
      </c>
      <c r="AJ194" s="552"/>
      <c r="AL194" s="573"/>
      <c r="AM194" s="430">
        <f t="shared" ca="1" si="73"/>
        <v>0</v>
      </c>
      <c r="AN194" s="616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4</v>
      </c>
      <c r="G195">
        <f t="shared" ca="1" si="55"/>
        <v>0</v>
      </c>
      <c r="H195">
        <f t="shared" ca="1" si="56"/>
        <v>0</v>
      </c>
      <c r="I195">
        <f t="shared" ca="1" si="57"/>
        <v>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3" t="str">
        <f t="shared" ca="1" si="59"/>
        <v/>
      </c>
      <c r="M195" s="144" t="s">
        <v>198</v>
      </c>
      <c r="N195" s="145" t="str">
        <f t="shared" ca="1" si="60"/>
        <v>Serviço</v>
      </c>
      <c r="O195" s="146" t="str">
        <f t="shared" ca="1" si="61"/>
        <v>-</v>
      </c>
      <c r="P195" s="147" t="s">
        <v>246</v>
      </c>
      <c r="Q195" s="148"/>
      <c r="R195" s="149" t="str">
        <f t="shared" ca="1" si="62"/>
        <v>(abra o arquivo 'Referência 05-2023.xls)</v>
      </c>
      <c r="S195" s="150" t="str">
        <f t="shared" ca="1" si="63"/>
        <v>-</v>
      </c>
      <c r="T195" s="151">
        <f ca="1">OFFSET(CÁLCULO!H$15,ROW($T195)-ROW(T$15),0)</f>
        <v>0</v>
      </c>
      <c r="U195" s="152"/>
      <c r="V195" s="153" t="s">
        <v>155</v>
      </c>
      <c r="W195" s="151">
        <f t="shared" ca="1" si="64"/>
        <v>0</v>
      </c>
      <c r="X195" s="154">
        <f t="shared" ca="1" si="65"/>
        <v>0</v>
      </c>
      <c r="Y195" s="155" t="s">
        <v>244</v>
      </c>
      <c r="Z195" t="str">
        <f t="shared" ca="1" si="66"/>
        <v/>
      </c>
      <c r="AA195" s="156">
        <f ca="1">IF($C195="S",IF($Z195="CP",$X195,IF($Z195="RA",(($X195)*QCI!$AA$3),0)),SomaAgrup)</f>
        <v>0</v>
      </c>
      <c r="AB195" s="157">
        <f t="shared" ca="1" si="67"/>
        <v>0</v>
      </c>
      <c r="AC195" s="158" t="str">
        <f t="shared" ca="1" si="68"/>
        <v/>
      </c>
      <c r="AD195" s="104" t="str">
        <f ca="1">IF(C195&lt;=CRONO.NivelExibicao,MAX($AD$15:OFFSET(AD195,-1,0))+IF($C195&lt;&gt;1,1,MAX(1,COUNTIF(QCI!$A$13:$A$24,OFFSET($E195,-1,0)))),"")</f>
        <v/>
      </c>
      <c r="AE195" s="114" t="b">
        <f t="shared" ca="1" si="69"/>
        <v>0</v>
      </c>
      <c r="AF195" s="159" t="str">
        <f t="shared" ca="1" si="70"/>
        <v>(abra o arquivo 'Referência 05-2023.xls)</v>
      </c>
      <c r="AG195" s="549">
        <f t="shared" ca="1" si="71"/>
        <v>0</v>
      </c>
      <c r="AH195" s="550">
        <f t="shared" ca="1" si="72"/>
        <v>0.25</v>
      </c>
      <c r="AJ195" s="552"/>
      <c r="AL195" s="573"/>
      <c r="AM195" s="430">
        <f t="shared" ca="1" si="73"/>
        <v>0</v>
      </c>
      <c r="AN195" s="616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4</v>
      </c>
      <c r="G196">
        <f t="shared" ca="1" si="55"/>
        <v>0</v>
      </c>
      <c r="H196">
        <f t="shared" ca="1" si="56"/>
        <v>0</v>
      </c>
      <c r="I196">
        <f t="shared" ca="1" si="57"/>
        <v>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3" t="str">
        <f t="shared" ca="1" si="59"/>
        <v/>
      </c>
      <c r="M196" s="144" t="s">
        <v>198</v>
      </c>
      <c r="N196" s="145" t="str">
        <f t="shared" ca="1" si="60"/>
        <v>Serviço</v>
      </c>
      <c r="O196" s="146" t="str">
        <f t="shared" ca="1" si="61"/>
        <v>-</v>
      </c>
      <c r="P196" s="147" t="s">
        <v>246</v>
      </c>
      <c r="Q196" s="148"/>
      <c r="R196" s="149" t="str">
        <f t="shared" ca="1" si="62"/>
        <v>(abra o arquivo 'Referência 05-2023.xls)</v>
      </c>
      <c r="S196" s="150" t="str">
        <f t="shared" ca="1" si="63"/>
        <v>-</v>
      </c>
      <c r="T196" s="151">
        <f ca="1">OFFSET(CÁLCULO!H$15,ROW($T196)-ROW(T$15),0)</f>
        <v>0</v>
      </c>
      <c r="U196" s="152"/>
      <c r="V196" s="153" t="s">
        <v>155</v>
      </c>
      <c r="W196" s="151">
        <f t="shared" ca="1" si="64"/>
        <v>0</v>
      </c>
      <c r="X196" s="154">
        <f t="shared" ca="1" si="65"/>
        <v>0</v>
      </c>
      <c r="Y196" s="155" t="s">
        <v>244</v>
      </c>
      <c r="Z196" t="str">
        <f t="shared" ca="1" si="66"/>
        <v/>
      </c>
      <c r="AA196" s="156">
        <f ca="1">IF($C196="S",IF($Z196="CP",$X196,IF($Z196="RA",(($X196)*QCI!$AA$3),0)),SomaAgrup)</f>
        <v>0</v>
      </c>
      <c r="AB196" s="157">
        <f t="shared" ca="1" si="67"/>
        <v>0</v>
      </c>
      <c r="AC196" s="158" t="str">
        <f t="shared" ca="1" si="68"/>
        <v/>
      </c>
      <c r="AD196" s="104" t="str">
        <f ca="1">IF(C196&lt;=CRONO.NivelExibicao,MAX($AD$15:OFFSET(AD196,-1,0))+IF($C196&lt;&gt;1,1,MAX(1,COUNTIF(QCI!$A$13:$A$24,OFFSET($E196,-1,0)))),"")</f>
        <v/>
      </c>
      <c r="AE196" s="114" t="b">
        <f t="shared" ca="1" si="69"/>
        <v>0</v>
      </c>
      <c r="AF196" s="159" t="str">
        <f t="shared" ca="1" si="70"/>
        <v>(abra o arquivo 'Referência 05-2023.xls)</v>
      </c>
      <c r="AG196" s="549">
        <f t="shared" ca="1" si="71"/>
        <v>0</v>
      </c>
      <c r="AH196" s="550">
        <f t="shared" ca="1" si="72"/>
        <v>0.25</v>
      </c>
      <c r="AJ196" s="552"/>
      <c r="AL196" s="573"/>
      <c r="AM196" s="430">
        <f t="shared" ca="1" si="73"/>
        <v>0</v>
      </c>
      <c r="AN196" s="616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4</v>
      </c>
      <c r="G197">
        <f t="shared" ca="1" si="55"/>
        <v>0</v>
      </c>
      <c r="H197">
        <f t="shared" ca="1" si="56"/>
        <v>0</v>
      </c>
      <c r="I197">
        <f t="shared" ca="1" si="57"/>
        <v>1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3" t="str">
        <f t="shared" ca="1" si="59"/>
        <v/>
      </c>
      <c r="M197" s="144" t="s">
        <v>198</v>
      </c>
      <c r="N197" s="145" t="str">
        <f t="shared" ca="1" si="60"/>
        <v>Serviço</v>
      </c>
      <c r="O197" s="146" t="str">
        <f t="shared" ca="1" si="61"/>
        <v>-</v>
      </c>
      <c r="P197" s="147" t="s">
        <v>246</v>
      </c>
      <c r="Q197" s="148"/>
      <c r="R197" s="149" t="str">
        <f t="shared" ca="1" si="62"/>
        <v>(abra o arquivo 'Referência 05-2023.xls)</v>
      </c>
      <c r="S197" s="150" t="str">
        <f t="shared" ca="1" si="63"/>
        <v>-</v>
      </c>
      <c r="T197" s="151">
        <f ca="1">OFFSET(CÁLCULO!H$15,ROW($T197)-ROW(T$15),0)</f>
        <v>0</v>
      </c>
      <c r="U197" s="152"/>
      <c r="V197" s="153" t="s">
        <v>155</v>
      </c>
      <c r="W197" s="151">
        <f t="shared" ca="1" si="64"/>
        <v>0</v>
      </c>
      <c r="X197" s="154">
        <f t="shared" ca="1" si="65"/>
        <v>0</v>
      </c>
      <c r="Y197" s="155" t="s">
        <v>244</v>
      </c>
      <c r="Z197" t="str">
        <f t="shared" ca="1" si="66"/>
        <v/>
      </c>
      <c r="AA197" s="156">
        <f ca="1">IF($C197="S",IF($Z197="CP",$X197,IF($Z197="RA",(($X197)*QCI!$AA$3),0)),SomaAgrup)</f>
        <v>0</v>
      </c>
      <c r="AB197" s="157">
        <f t="shared" ca="1" si="67"/>
        <v>0</v>
      </c>
      <c r="AC197" s="158" t="str">
        <f t="shared" ca="1" si="68"/>
        <v/>
      </c>
      <c r="AD197" s="104" t="str">
        <f ca="1">IF(C197&lt;=CRONO.NivelExibicao,MAX($AD$15:OFFSET(AD197,-1,0))+IF($C197&lt;&gt;1,1,MAX(1,COUNTIF(QCI!$A$13:$A$24,OFFSET($E197,-1,0)))),"")</f>
        <v/>
      </c>
      <c r="AE197" s="114" t="b">
        <f t="shared" ca="1" si="69"/>
        <v>0</v>
      </c>
      <c r="AF197" s="159" t="str">
        <f t="shared" ca="1" si="70"/>
        <v>(abra o arquivo 'Referência 05-2023.xls)</v>
      </c>
      <c r="AG197" s="549">
        <f t="shared" ca="1" si="71"/>
        <v>0</v>
      </c>
      <c r="AH197" s="550">
        <f t="shared" ca="1" si="72"/>
        <v>0.25</v>
      </c>
      <c r="AJ197" s="552"/>
      <c r="AL197" s="573"/>
      <c r="AM197" s="430">
        <f t="shared" ca="1" si="73"/>
        <v>0</v>
      </c>
      <c r="AN197" s="616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4</v>
      </c>
      <c r="G198">
        <f t="shared" ca="1" si="55"/>
        <v>0</v>
      </c>
      <c r="H198">
        <f t="shared" ca="1" si="56"/>
        <v>0</v>
      </c>
      <c r="I198">
        <f t="shared" ca="1" si="57"/>
        <v>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3" t="str">
        <f t="shared" ca="1" si="59"/>
        <v/>
      </c>
      <c r="M198" s="144" t="s">
        <v>198</v>
      </c>
      <c r="N198" s="145" t="str">
        <f t="shared" ca="1" si="60"/>
        <v>Serviço</v>
      </c>
      <c r="O198" s="146" t="str">
        <f t="shared" ca="1" si="61"/>
        <v>-</v>
      </c>
      <c r="P198" s="147" t="s">
        <v>246</v>
      </c>
      <c r="Q198" s="148"/>
      <c r="R198" s="149" t="str">
        <f t="shared" ca="1" si="62"/>
        <v>(abra o arquivo 'Referência 05-2023.xls)</v>
      </c>
      <c r="S198" s="150" t="str">
        <f t="shared" ca="1" si="63"/>
        <v>-</v>
      </c>
      <c r="T198" s="151">
        <f ca="1">OFFSET(CÁLCULO!H$15,ROW($T198)-ROW(T$15),0)</f>
        <v>0</v>
      </c>
      <c r="U198" s="152"/>
      <c r="V198" s="153" t="s">
        <v>155</v>
      </c>
      <c r="W198" s="151">
        <f t="shared" ca="1" si="64"/>
        <v>0</v>
      </c>
      <c r="X198" s="154">
        <f t="shared" ca="1" si="65"/>
        <v>0</v>
      </c>
      <c r="Y198" s="155" t="s">
        <v>244</v>
      </c>
      <c r="Z198" t="str">
        <f t="shared" ca="1" si="66"/>
        <v/>
      </c>
      <c r="AA198" s="156">
        <f ca="1">IF($C198="S",IF($Z198="CP",$X198,IF($Z198="RA",(($X198)*QCI!$AA$3),0)),SomaAgrup)</f>
        <v>0</v>
      </c>
      <c r="AB198" s="157">
        <f t="shared" ca="1" si="67"/>
        <v>0</v>
      </c>
      <c r="AC198" s="158" t="str">
        <f t="shared" ca="1" si="68"/>
        <v/>
      </c>
      <c r="AD198" s="104" t="str">
        <f ca="1">IF(C198&lt;=CRONO.NivelExibicao,MAX($AD$15:OFFSET(AD198,-1,0))+IF($C198&lt;&gt;1,1,MAX(1,COUNTIF(QCI!$A$13:$A$24,OFFSET($E198,-1,0)))),"")</f>
        <v/>
      </c>
      <c r="AE198" s="114" t="b">
        <f t="shared" ca="1" si="69"/>
        <v>0</v>
      </c>
      <c r="AF198" s="159" t="str">
        <f t="shared" ca="1" si="70"/>
        <v>(abra o arquivo 'Referência 05-2023.xls)</v>
      </c>
      <c r="AG198" s="549">
        <f t="shared" ca="1" si="71"/>
        <v>0</v>
      </c>
      <c r="AH198" s="550">
        <f t="shared" ca="1" si="72"/>
        <v>0.25</v>
      </c>
      <c r="AJ198" s="552"/>
      <c r="AL198" s="573"/>
      <c r="AM198" s="430">
        <f t="shared" ca="1" si="73"/>
        <v>0</v>
      </c>
      <c r="AN198" s="616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4</v>
      </c>
      <c r="G199">
        <f t="shared" ca="1" si="55"/>
        <v>0</v>
      </c>
      <c r="H199">
        <f t="shared" ca="1" si="56"/>
        <v>0</v>
      </c>
      <c r="I199">
        <f t="shared" ca="1" si="57"/>
        <v>1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3" t="str">
        <f t="shared" ca="1" si="59"/>
        <v/>
      </c>
      <c r="M199" s="144" t="s">
        <v>198</v>
      </c>
      <c r="N199" s="145" t="str">
        <f t="shared" ca="1" si="60"/>
        <v>Serviço</v>
      </c>
      <c r="O199" s="146" t="str">
        <f t="shared" ca="1" si="61"/>
        <v>-</v>
      </c>
      <c r="P199" s="147" t="s">
        <v>246</v>
      </c>
      <c r="Q199" s="148"/>
      <c r="R199" s="149" t="str">
        <f t="shared" ca="1" si="62"/>
        <v>(abra o arquivo 'Referência 05-2023.xls)</v>
      </c>
      <c r="S199" s="150" t="str">
        <f t="shared" ca="1" si="63"/>
        <v>-</v>
      </c>
      <c r="T199" s="151">
        <f ca="1">OFFSET(CÁLCULO!H$15,ROW($T199)-ROW(T$15),0)</f>
        <v>0</v>
      </c>
      <c r="U199" s="152"/>
      <c r="V199" s="153" t="s">
        <v>155</v>
      </c>
      <c r="W199" s="151">
        <f t="shared" ca="1" si="64"/>
        <v>0</v>
      </c>
      <c r="X199" s="154">
        <f t="shared" ca="1" si="65"/>
        <v>0</v>
      </c>
      <c r="Y199" s="155" t="s">
        <v>244</v>
      </c>
      <c r="Z199" t="str">
        <f t="shared" ca="1" si="66"/>
        <v/>
      </c>
      <c r="AA199" s="156">
        <f ca="1">IF($C199="S",IF($Z199="CP",$X199,IF($Z199="RA",(($X199)*QCI!$AA$3),0)),SomaAgrup)</f>
        <v>0</v>
      </c>
      <c r="AB199" s="157">
        <f t="shared" ca="1" si="67"/>
        <v>0</v>
      </c>
      <c r="AC199" s="158" t="str">
        <f t="shared" ca="1" si="68"/>
        <v/>
      </c>
      <c r="AD199" s="104" t="str">
        <f ca="1">IF(C199&lt;=CRONO.NivelExibicao,MAX($AD$15:OFFSET(AD199,-1,0))+IF($C199&lt;&gt;1,1,MAX(1,COUNTIF(QCI!$A$13:$A$24,OFFSET($E199,-1,0)))),"")</f>
        <v/>
      </c>
      <c r="AE199" s="114" t="b">
        <f t="shared" ca="1" si="69"/>
        <v>0</v>
      </c>
      <c r="AF199" s="159" t="str">
        <f t="shared" ca="1" si="70"/>
        <v>(abra o arquivo 'Referência 05-2023.xls)</v>
      </c>
      <c r="AG199" s="549">
        <f t="shared" ca="1" si="71"/>
        <v>0</v>
      </c>
      <c r="AH199" s="550">
        <f t="shared" ca="1" si="72"/>
        <v>0.25</v>
      </c>
      <c r="AJ199" s="552"/>
      <c r="AL199" s="573"/>
      <c r="AM199" s="430">
        <f t="shared" ca="1" si="73"/>
        <v>0</v>
      </c>
      <c r="AN199" s="616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4</v>
      </c>
      <c r="G200">
        <f t="shared" ca="1" si="55"/>
        <v>0</v>
      </c>
      <c r="H200">
        <f t="shared" ca="1" si="56"/>
        <v>0</v>
      </c>
      <c r="I200">
        <f t="shared" ca="1" si="57"/>
        <v>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3" t="str">
        <f t="shared" ca="1" si="59"/>
        <v/>
      </c>
      <c r="M200" s="144" t="s">
        <v>198</v>
      </c>
      <c r="N200" s="145" t="str">
        <f t="shared" ca="1" si="60"/>
        <v>Serviço</v>
      </c>
      <c r="O200" s="146" t="str">
        <f t="shared" ca="1" si="61"/>
        <v>-</v>
      </c>
      <c r="P200" s="147" t="s">
        <v>246</v>
      </c>
      <c r="Q200" s="148"/>
      <c r="R200" s="149" t="str">
        <f t="shared" ca="1" si="62"/>
        <v>(abra o arquivo 'Referência 05-2023.xls)</v>
      </c>
      <c r="S200" s="150" t="str">
        <f t="shared" ca="1" si="63"/>
        <v>-</v>
      </c>
      <c r="T200" s="151">
        <f ca="1">OFFSET(CÁLCULO!H$15,ROW($T200)-ROW(T$15),0)</f>
        <v>0</v>
      </c>
      <c r="U200" s="152"/>
      <c r="V200" s="153" t="s">
        <v>155</v>
      </c>
      <c r="W200" s="151">
        <f t="shared" ca="1" si="64"/>
        <v>0</v>
      </c>
      <c r="X200" s="154">
        <f t="shared" ca="1" si="65"/>
        <v>0</v>
      </c>
      <c r="Y200" s="155" t="s">
        <v>244</v>
      </c>
      <c r="Z200" t="str">
        <f t="shared" ca="1" si="66"/>
        <v/>
      </c>
      <c r="AA200" s="156">
        <f ca="1">IF($C200="S",IF($Z200="CP",$X200,IF($Z200="RA",(($X200)*QCI!$AA$3),0)),SomaAgrup)</f>
        <v>0</v>
      </c>
      <c r="AB200" s="157">
        <f t="shared" ca="1" si="67"/>
        <v>0</v>
      </c>
      <c r="AC200" s="158" t="str">
        <f t="shared" ca="1" si="68"/>
        <v/>
      </c>
      <c r="AD200" s="104" t="str">
        <f ca="1">IF(C200&lt;=CRONO.NivelExibicao,MAX($AD$15:OFFSET(AD200,-1,0))+IF($C200&lt;&gt;1,1,MAX(1,COUNTIF(QCI!$A$13:$A$24,OFFSET($E200,-1,0)))),"")</f>
        <v/>
      </c>
      <c r="AE200" s="114" t="b">
        <f t="shared" ca="1" si="69"/>
        <v>0</v>
      </c>
      <c r="AF200" s="159" t="str">
        <f t="shared" ca="1" si="70"/>
        <v>(abra o arquivo 'Referência 05-2023.xls)</v>
      </c>
      <c r="AG200" s="549">
        <f t="shared" ca="1" si="71"/>
        <v>0</v>
      </c>
      <c r="AH200" s="550">
        <f t="shared" ca="1" si="72"/>
        <v>0.25</v>
      </c>
      <c r="AJ200" s="552"/>
      <c r="AL200" s="573"/>
      <c r="AM200" s="430">
        <f t="shared" ca="1" si="73"/>
        <v>0</v>
      </c>
      <c r="AN200" s="616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4</v>
      </c>
      <c r="G201">
        <f t="shared" ca="1" si="55"/>
        <v>0</v>
      </c>
      <c r="H201">
        <f t="shared" ca="1" si="56"/>
        <v>0</v>
      </c>
      <c r="I201">
        <f t="shared" ca="1" si="57"/>
        <v>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3" t="str">
        <f t="shared" ca="1" si="59"/>
        <v/>
      </c>
      <c r="M201" s="144" t="s">
        <v>198</v>
      </c>
      <c r="N201" s="145" t="str">
        <f t="shared" ca="1" si="60"/>
        <v>Serviço</v>
      </c>
      <c r="O201" s="146" t="str">
        <f t="shared" ca="1" si="61"/>
        <v>-</v>
      </c>
      <c r="P201" s="147" t="s">
        <v>246</v>
      </c>
      <c r="Q201" s="148"/>
      <c r="R201" s="149" t="str">
        <f t="shared" ca="1" si="62"/>
        <v>(abra o arquivo 'Referência 05-2023.xls)</v>
      </c>
      <c r="S201" s="150" t="str">
        <f t="shared" ca="1" si="63"/>
        <v>-</v>
      </c>
      <c r="T201" s="151">
        <f ca="1">OFFSET(CÁLCULO!H$15,ROW($T201)-ROW(T$15),0)</f>
        <v>0</v>
      </c>
      <c r="U201" s="152"/>
      <c r="V201" s="153" t="s">
        <v>155</v>
      </c>
      <c r="W201" s="151">
        <f t="shared" ca="1" si="64"/>
        <v>0</v>
      </c>
      <c r="X201" s="154">
        <f t="shared" ca="1" si="65"/>
        <v>0</v>
      </c>
      <c r="Y201" s="155" t="s">
        <v>244</v>
      </c>
      <c r="Z201" t="str">
        <f t="shared" ca="1" si="66"/>
        <v/>
      </c>
      <c r="AA201" s="156">
        <f ca="1">IF($C201="S",IF($Z201="CP",$X201,IF($Z201="RA",(($X201)*QCI!$AA$3),0)),SomaAgrup)</f>
        <v>0</v>
      </c>
      <c r="AB201" s="157">
        <f t="shared" ca="1" si="67"/>
        <v>0</v>
      </c>
      <c r="AC201" s="158" t="str">
        <f t="shared" ca="1" si="68"/>
        <v/>
      </c>
      <c r="AD201" s="104" t="str">
        <f ca="1">IF(C201&lt;=CRONO.NivelExibicao,MAX($AD$15:OFFSET(AD201,-1,0))+IF($C201&lt;&gt;1,1,MAX(1,COUNTIF(QCI!$A$13:$A$24,OFFSET($E201,-1,0)))),"")</f>
        <v/>
      </c>
      <c r="AE201" s="114" t="b">
        <f t="shared" ca="1" si="69"/>
        <v>0</v>
      </c>
      <c r="AF201" s="159" t="str">
        <f t="shared" ca="1" si="70"/>
        <v>(abra o arquivo 'Referência 05-2023.xls)</v>
      </c>
      <c r="AG201" s="549">
        <f t="shared" ca="1" si="71"/>
        <v>0</v>
      </c>
      <c r="AH201" s="550">
        <f t="shared" ca="1" si="72"/>
        <v>0.25</v>
      </c>
      <c r="AJ201" s="552"/>
      <c r="AL201" s="573"/>
      <c r="AM201" s="430">
        <f t="shared" ca="1" si="73"/>
        <v>0</v>
      </c>
      <c r="AN201" s="616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4</v>
      </c>
      <c r="G202">
        <f t="shared" ca="1" si="55"/>
        <v>0</v>
      </c>
      <c r="H202">
        <f t="shared" ca="1" si="56"/>
        <v>0</v>
      </c>
      <c r="I202">
        <f t="shared" ca="1" si="57"/>
        <v>1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3" t="str">
        <f t="shared" ca="1" si="59"/>
        <v/>
      </c>
      <c r="M202" s="144" t="s">
        <v>198</v>
      </c>
      <c r="N202" s="145" t="str">
        <f t="shared" ca="1" si="60"/>
        <v>Serviço</v>
      </c>
      <c r="O202" s="146" t="str">
        <f t="shared" ca="1" si="61"/>
        <v>-</v>
      </c>
      <c r="P202" s="147" t="s">
        <v>246</v>
      </c>
      <c r="Q202" s="148"/>
      <c r="R202" s="149" t="str">
        <f t="shared" ca="1" si="62"/>
        <v>(abra o arquivo 'Referência 05-2023.xls)</v>
      </c>
      <c r="S202" s="150" t="str">
        <f t="shared" ca="1" si="63"/>
        <v>-</v>
      </c>
      <c r="T202" s="151">
        <f ca="1">OFFSET(CÁLCULO!H$15,ROW($T202)-ROW(T$15),0)</f>
        <v>0</v>
      </c>
      <c r="U202" s="152"/>
      <c r="V202" s="153" t="s">
        <v>155</v>
      </c>
      <c r="W202" s="151">
        <f t="shared" ca="1" si="64"/>
        <v>0</v>
      </c>
      <c r="X202" s="154">
        <f t="shared" ca="1" si="65"/>
        <v>0</v>
      </c>
      <c r="Y202" s="155" t="s">
        <v>244</v>
      </c>
      <c r="Z202" t="str">
        <f t="shared" ca="1" si="66"/>
        <v/>
      </c>
      <c r="AA202" s="156">
        <f ca="1">IF($C202="S",IF($Z202="CP",$X202,IF($Z202="RA",(($X202)*QCI!$AA$3),0)),SomaAgrup)</f>
        <v>0</v>
      </c>
      <c r="AB202" s="157">
        <f t="shared" ca="1" si="67"/>
        <v>0</v>
      </c>
      <c r="AC202" s="158" t="str">
        <f t="shared" ca="1" si="68"/>
        <v/>
      </c>
      <c r="AD202" s="104" t="str">
        <f ca="1">IF(C202&lt;=CRONO.NivelExibicao,MAX($AD$15:OFFSET(AD202,-1,0))+IF($C202&lt;&gt;1,1,MAX(1,COUNTIF(QCI!$A$13:$A$24,OFFSET($E202,-1,0)))),"")</f>
        <v/>
      </c>
      <c r="AE202" s="114" t="b">
        <f t="shared" ca="1" si="69"/>
        <v>0</v>
      </c>
      <c r="AF202" s="159" t="str">
        <f t="shared" ca="1" si="70"/>
        <v>(abra o arquivo 'Referência 05-2023.xls)</v>
      </c>
      <c r="AG202" s="549">
        <f t="shared" ca="1" si="71"/>
        <v>0</v>
      </c>
      <c r="AH202" s="550">
        <f t="shared" ca="1" si="72"/>
        <v>0.25</v>
      </c>
      <c r="AJ202" s="552"/>
      <c r="AL202" s="573"/>
      <c r="AM202" s="430">
        <f t="shared" ca="1" si="73"/>
        <v>0</v>
      </c>
      <c r="AN202" s="616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4</v>
      </c>
      <c r="G203">
        <f t="shared" ca="1" si="55"/>
        <v>0</v>
      </c>
      <c r="H203">
        <f t="shared" ca="1" si="56"/>
        <v>0</v>
      </c>
      <c r="I203">
        <f t="shared" ca="1" si="57"/>
        <v>1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3" t="str">
        <f t="shared" ca="1" si="59"/>
        <v/>
      </c>
      <c r="M203" s="144" t="s">
        <v>198</v>
      </c>
      <c r="N203" s="145" t="str">
        <f t="shared" ca="1" si="60"/>
        <v>Serviço</v>
      </c>
      <c r="O203" s="146" t="str">
        <f t="shared" ca="1" si="61"/>
        <v>-</v>
      </c>
      <c r="P203" s="147" t="s">
        <v>246</v>
      </c>
      <c r="Q203" s="148"/>
      <c r="R203" s="149" t="str">
        <f t="shared" ca="1" si="62"/>
        <v>(abra o arquivo 'Referência 05-2023.xls)</v>
      </c>
      <c r="S203" s="150" t="str">
        <f t="shared" ca="1" si="63"/>
        <v>-</v>
      </c>
      <c r="T203" s="151">
        <f ca="1">OFFSET(CÁLCULO!H$15,ROW($T203)-ROW(T$15),0)</f>
        <v>0</v>
      </c>
      <c r="U203" s="152"/>
      <c r="V203" s="153" t="s">
        <v>155</v>
      </c>
      <c r="W203" s="151">
        <f t="shared" ca="1" si="64"/>
        <v>0</v>
      </c>
      <c r="X203" s="154">
        <f t="shared" ca="1" si="65"/>
        <v>0</v>
      </c>
      <c r="Y203" s="155" t="s">
        <v>244</v>
      </c>
      <c r="Z203" t="str">
        <f t="shared" ca="1" si="66"/>
        <v/>
      </c>
      <c r="AA203" s="156">
        <f ca="1">IF($C203="S",IF($Z203="CP",$X203,IF($Z203="RA",(($X203)*QCI!$AA$3),0)),SomaAgrup)</f>
        <v>0</v>
      </c>
      <c r="AB203" s="157">
        <f t="shared" ca="1" si="67"/>
        <v>0</v>
      </c>
      <c r="AC203" s="158" t="str">
        <f t="shared" ca="1" si="68"/>
        <v/>
      </c>
      <c r="AD203" s="104" t="str">
        <f ca="1">IF(C203&lt;=CRONO.NivelExibicao,MAX($AD$15:OFFSET(AD203,-1,0))+IF($C203&lt;&gt;1,1,MAX(1,COUNTIF(QCI!$A$13:$A$24,OFFSET($E203,-1,0)))),"")</f>
        <v/>
      </c>
      <c r="AE203" s="114" t="b">
        <f t="shared" ca="1" si="69"/>
        <v>0</v>
      </c>
      <c r="AF203" s="159" t="str">
        <f t="shared" ca="1" si="70"/>
        <v>(abra o arquivo 'Referência 05-2023.xls)</v>
      </c>
      <c r="AG203" s="549">
        <f t="shared" ca="1" si="71"/>
        <v>0</v>
      </c>
      <c r="AH203" s="550">
        <f t="shared" ca="1" si="72"/>
        <v>0.25</v>
      </c>
      <c r="AJ203" s="552"/>
      <c r="AL203" s="573"/>
      <c r="AM203" s="430">
        <f t="shared" ca="1" si="73"/>
        <v>0</v>
      </c>
      <c r="AN203" s="616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4</v>
      </c>
      <c r="G204">
        <f t="shared" ca="1" si="55"/>
        <v>0</v>
      </c>
      <c r="H204">
        <f t="shared" ca="1" si="56"/>
        <v>0</v>
      </c>
      <c r="I204">
        <f t="shared" ca="1" si="57"/>
        <v>1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3" t="str">
        <f t="shared" ca="1" si="59"/>
        <v/>
      </c>
      <c r="M204" s="144" t="s">
        <v>198</v>
      </c>
      <c r="N204" s="145" t="str">
        <f t="shared" ca="1" si="60"/>
        <v>Serviço</v>
      </c>
      <c r="O204" s="146" t="str">
        <f t="shared" ca="1" si="61"/>
        <v>-</v>
      </c>
      <c r="P204" s="147" t="s">
        <v>246</v>
      </c>
      <c r="Q204" s="148"/>
      <c r="R204" s="149" t="str">
        <f t="shared" ca="1" si="62"/>
        <v>(abra o arquivo 'Referência 05-2023.xls)</v>
      </c>
      <c r="S204" s="150" t="str">
        <f t="shared" ca="1" si="63"/>
        <v>-</v>
      </c>
      <c r="T204" s="151">
        <f ca="1">OFFSET(CÁLCULO!H$15,ROW($T204)-ROW(T$15),0)</f>
        <v>0</v>
      </c>
      <c r="U204" s="152"/>
      <c r="V204" s="153" t="s">
        <v>155</v>
      </c>
      <c r="W204" s="151">
        <f t="shared" ca="1" si="64"/>
        <v>0</v>
      </c>
      <c r="X204" s="154">
        <f t="shared" ca="1" si="65"/>
        <v>0</v>
      </c>
      <c r="Y204" s="155" t="s">
        <v>244</v>
      </c>
      <c r="Z204" t="str">
        <f t="shared" ca="1" si="66"/>
        <v/>
      </c>
      <c r="AA204" s="156">
        <f ca="1">IF($C204="S",IF($Z204="CP",$X204,IF($Z204="RA",(($X204)*QCI!$AA$3),0)),SomaAgrup)</f>
        <v>0</v>
      </c>
      <c r="AB204" s="157">
        <f t="shared" ca="1" si="67"/>
        <v>0</v>
      </c>
      <c r="AC204" s="158" t="str">
        <f t="shared" ca="1" si="68"/>
        <v/>
      </c>
      <c r="AD204" s="104" t="str">
        <f ca="1">IF(C204&lt;=CRONO.NivelExibicao,MAX($AD$15:OFFSET(AD204,-1,0))+IF($C204&lt;&gt;1,1,MAX(1,COUNTIF(QCI!$A$13:$A$24,OFFSET($E204,-1,0)))),"")</f>
        <v/>
      </c>
      <c r="AE204" s="114" t="b">
        <f t="shared" ca="1" si="69"/>
        <v>0</v>
      </c>
      <c r="AF204" s="159" t="str">
        <f t="shared" ca="1" si="70"/>
        <v>(abra o arquivo 'Referência 05-2023.xls)</v>
      </c>
      <c r="AG204" s="549">
        <f t="shared" ca="1" si="71"/>
        <v>0</v>
      </c>
      <c r="AH204" s="550">
        <f t="shared" ca="1" si="72"/>
        <v>0.25</v>
      </c>
      <c r="AJ204" s="552"/>
      <c r="AL204" s="573"/>
      <c r="AM204" s="430">
        <f t="shared" ca="1" si="73"/>
        <v>0</v>
      </c>
      <c r="AN204" s="616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4</v>
      </c>
      <c r="G205">
        <f t="shared" ca="1" si="55"/>
        <v>0</v>
      </c>
      <c r="H205">
        <f t="shared" ca="1" si="56"/>
        <v>0</v>
      </c>
      <c r="I205">
        <f t="shared" ca="1" si="57"/>
        <v>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3" t="str">
        <f t="shared" ca="1" si="59"/>
        <v/>
      </c>
      <c r="M205" s="144" t="s">
        <v>198</v>
      </c>
      <c r="N205" s="145" t="str">
        <f t="shared" ca="1" si="60"/>
        <v>Serviço</v>
      </c>
      <c r="O205" s="146" t="str">
        <f t="shared" ca="1" si="61"/>
        <v>-</v>
      </c>
      <c r="P205" s="147" t="s">
        <v>246</v>
      </c>
      <c r="Q205" s="148"/>
      <c r="R205" s="149" t="str">
        <f t="shared" ca="1" si="62"/>
        <v>(abra o arquivo 'Referência 05-2023.xls)</v>
      </c>
      <c r="S205" s="150" t="str">
        <f t="shared" ca="1" si="63"/>
        <v>-</v>
      </c>
      <c r="T205" s="151">
        <f ca="1">OFFSET(CÁLCULO!H$15,ROW($T205)-ROW(T$15),0)</f>
        <v>0</v>
      </c>
      <c r="U205" s="152"/>
      <c r="V205" s="153" t="s">
        <v>155</v>
      </c>
      <c r="W205" s="151">
        <f t="shared" ca="1" si="64"/>
        <v>0</v>
      </c>
      <c r="X205" s="154">
        <f t="shared" ca="1" si="65"/>
        <v>0</v>
      </c>
      <c r="Y205" s="155" t="s">
        <v>244</v>
      </c>
      <c r="Z205" t="str">
        <f t="shared" ca="1" si="66"/>
        <v/>
      </c>
      <c r="AA205" s="156">
        <f ca="1">IF($C205="S",IF($Z205="CP",$X205,IF($Z205="RA",(($X205)*QCI!$AA$3),0)),SomaAgrup)</f>
        <v>0</v>
      </c>
      <c r="AB205" s="157">
        <f t="shared" ca="1" si="67"/>
        <v>0</v>
      </c>
      <c r="AC205" s="158" t="str">
        <f t="shared" ca="1" si="68"/>
        <v/>
      </c>
      <c r="AD205" s="104" t="str">
        <f ca="1">IF(C205&lt;=CRONO.NivelExibicao,MAX($AD$15:OFFSET(AD205,-1,0))+IF($C205&lt;&gt;1,1,MAX(1,COUNTIF(QCI!$A$13:$A$24,OFFSET($E205,-1,0)))),"")</f>
        <v/>
      </c>
      <c r="AE205" s="114" t="b">
        <f t="shared" ca="1" si="69"/>
        <v>0</v>
      </c>
      <c r="AF205" s="159" t="str">
        <f t="shared" ca="1" si="70"/>
        <v>(abra o arquivo 'Referência 05-2023.xls)</v>
      </c>
      <c r="AG205" s="549">
        <f t="shared" ca="1" si="71"/>
        <v>0</v>
      </c>
      <c r="AH205" s="550">
        <f t="shared" ca="1" si="72"/>
        <v>0.25</v>
      </c>
      <c r="AJ205" s="552"/>
      <c r="AL205" s="573"/>
      <c r="AM205" s="430">
        <f t="shared" ca="1" si="73"/>
        <v>0</v>
      </c>
      <c r="AN205" s="616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4</v>
      </c>
      <c r="G206">
        <f t="shared" ca="1" si="55"/>
        <v>0</v>
      </c>
      <c r="H206">
        <f t="shared" ca="1" si="56"/>
        <v>0</v>
      </c>
      <c r="I206">
        <f t="shared" ca="1" si="57"/>
        <v>1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3" t="str">
        <f t="shared" ca="1" si="59"/>
        <v/>
      </c>
      <c r="M206" s="144" t="s">
        <v>198</v>
      </c>
      <c r="N206" s="145" t="str">
        <f t="shared" ca="1" si="60"/>
        <v>Serviço</v>
      </c>
      <c r="O206" s="146" t="str">
        <f t="shared" ca="1" si="61"/>
        <v>-</v>
      </c>
      <c r="P206" s="147" t="s">
        <v>246</v>
      </c>
      <c r="Q206" s="148"/>
      <c r="R206" s="149" t="str">
        <f t="shared" ca="1" si="62"/>
        <v>(abra o arquivo 'Referência 05-2023.xls)</v>
      </c>
      <c r="S206" s="150" t="str">
        <f t="shared" ca="1" si="63"/>
        <v>-</v>
      </c>
      <c r="T206" s="151">
        <f ca="1">OFFSET(CÁLCULO!H$15,ROW($T206)-ROW(T$15),0)</f>
        <v>0</v>
      </c>
      <c r="U206" s="152"/>
      <c r="V206" s="153" t="s">
        <v>155</v>
      </c>
      <c r="W206" s="151">
        <f t="shared" ca="1" si="64"/>
        <v>0</v>
      </c>
      <c r="X206" s="154">
        <f t="shared" ca="1" si="65"/>
        <v>0</v>
      </c>
      <c r="Y206" s="155" t="s">
        <v>244</v>
      </c>
      <c r="Z206" t="str">
        <f t="shared" ca="1" si="66"/>
        <v/>
      </c>
      <c r="AA206" s="156">
        <f ca="1">IF($C206="S",IF($Z206="CP",$X206,IF($Z206="RA",(($X206)*QCI!$AA$3),0)),SomaAgrup)</f>
        <v>0</v>
      </c>
      <c r="AB206" s="157">
        <f t="shared" ca="1" si="67"/>
        <v>0</v>
      </c>
      <c r="AC206" s="158" t="str">
        <f t="shared" ca="1" si="68"/>
        <v/>
      </c>
      <c r="AD206" s="104" t="str">
        <f ca="1">IF(C206&lt;=CRONO.NivelExibicao,MAX($AD$15:OFFSET(AD206,-1,0))+IF($C206&lt;&gt;1,1,MAX(1,COUNTIF(QCI!$A$13:$A$24,OFFSET($E206,-1,0)))),"")</f>
        <v/>
      </c>
      <c r="AE206" s="114" t="b">
        <f t="shared" ca="1" si="69"/>
        <v>0</v>
      </c>
      <c r="AF206" s="159" t="str">
        <f t="shared" ca="1" si="70"/>
        <v>(abra o arquivo 'Referência 05-2023.xls)</v>
      </c>
      <c r="AG206" s="549">
        <f t="shared" ca="1" si="71"/>
        <v>0</v>
      </c>
      <c r="AH206" s="550">
        <f t="shared" ca="1" si="72"/>
        <v>0.25</v>
      </c>
      <c r="AJ206" s="552"/>
      <c r="AL206" s="573"/>
      <c r="AM206" s="430">
        <f t="shared" ca="1" si="73"/>
        <v>0</v>
      </c>
      <c r="AN206" s="616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4</v>
      </c>
      <c r="G207">
        <f t="shared" ca="1" si="55"/>
        <v>0</v>
      </c>
      <c r="H207">
        <f t="shared" ca="1" si="56"/>
        <v>0</v>
      </c>
      <c r="I207">
        <f t="shared" ca="1" si="57"/>
        <v>1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3" t="str">
        <f t="shared" ca="1" si="59"/>
        <v/>
      </c>
      <c r="M207" s="144" t="s">
        <v>198</v>
      </c>
      <c r="N207" s="145" t="str">
        <f t="shared" ca="1" si="60"/>
        <v>Serviço</v>
      </c>
      <c r="O207" s="146" t="str">
        <f t="shared" ca="1" si="61"/>
        <v>-</v>
      </c>
      <c r="P207" s="147" t="s">
        <v>246</v>
      </c>
      <c r="Q207" s="148"/>
      <c r="R207" s="149" t="str">
        <f t="shared" ca="1" si="62"/>
        <v>(abra o arquivo 'Referência 05-2023.xls)</v>
      </c>
      <c r="S207" s="150" t="str">
        <f t="shared" ca="1" si="63"/>
        <v>-</v>
      </c>
      <c r="T207" s="151">
        <f ca="1">OFFSET(CÁLCULO!H$15,ROW($T207)-ROW(T$15),0)</f>
        <v>0</v>
      </c>
      <c r="U207" s="152"/>
      <c r="V207" s="153" t="s">
        <v>155</v>
      </c>
      <c r="W207" s="151">
        <f t="shared" ca="1" si="64"/>
        <v>0</v>
      </c>
      <c r="X207" s="154">
        <f t="shared" ca="1" si="65"/>
        <v>0</v>
      </c>
      <c r="Y207" s="155" t="s">
        <v>244</v>
      </c>
      <c r="Z207" t="str">
        <f t="shared" ca="1" si="66"/>
        <v/>
      </c>
      <c r="AA207" s="156">
        <f ca="1">IF($C207="S",IF($Z207="CP",$X207,IF($Z207="RA",(($X207)*QCI!$AA$3),0)),SomaAgrup)</f>
        <v>0</v>
      </c>
      <c r="AB207" s="157">
        <f t="shared" ca="1" si="67"/>
        <v>0</v>
      </c>
      <c r="AC207" s="158" t="str">
        <f t="shared" ca="1" si="68"/>
        <v/>
      </c>
      <c r="AD207" s="104" t="str">
        <f ca="1">IF(C207&lt;=CRONO.NivelExibicao,MAX($AD$15:OFFSET(AD207,-1,0))+IF($C207&lt;&gt;1,1,MAX(1,COUNTIF(QCI!$A$13:$A$24,OFFSET($E207,-1,0)))),"")</f>
        <v/>
      </c>
      <c r="AE207" s="114" t="b">
        <f t="shared" ca="1" si="69"/>
        <v>0</v>
      </c>
      <c r="AF207" s="159" t="str">
        <f t="shared" ca="1" si="70"/>
        <v>(abra o arquivo 'Referência 05-2023.xls)</v>
      </c>
      <c r="AG207" s="549">
        <f t="shared" ca="1" si="71"/>
        <v>0</v>
      </c>
      <c r="AH207" s="550">
        <f t="shared" ca="1" si="72"/>
        <v>0.25</v>
      </c>
      <c r="AJ207" s="552"/>
      <c r="AL207" s="573"/>
      <c r="AM207" s="430">
        <f t="shared" ca="1" si="73"/>
        <v>0</v>
      </c>
      <c r="AN207" s="616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4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3" t="str">
        <f t="shared" ref="L208:L265" ca="1" si="84">IF(OR($X208&gt;0,$C208=1,$C208=2,$C208=3,$C208=4),"F","")</f>
        <v/>
      </c>
      <c r="M208" s="144" t="s">
        <v>198</v>
      </c>
      <c r="N208" s="145" t="str">
        <f t="shared" ref="N208:N265" ca="1" si="85">CHOOSE(1+LOG(1+2*(C208=1)+4*(C208=2)+8*(C208=3)+16*(C208=4)+32*(C208="S"),2),"","Meta","Nível 2","Nível 3","Nível 4","Serviço")</f>
        <v>Serviço</v>
      </c>
      <c r="O208" s="146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7" t="s">
        <v>246</v>
      </c>
      <c r="Q208" s="148"/>
      <c r="R208" s="149" t="str">
        <f t="shared" ref="R208:R265" ca="1" si="87">IF($C208="S",REFERENCIA.Descricao,"(digite a descrição aqui)")</f>
        <v>(abra o arquivo 'Referência 05-2023.xls)</v>
      </c>
      <c r="S208" s="150" t="str">
        <f t="shared" ref="S208:S265" ca="1" si="88">REFERENCIA.Unidade</f>
        <v>-</v>
      </c>
      <c r="T208" s="151">
        <f ca="1">OFFSET(CÁLCULO!H$15,ROW($T208)-ROW(T$15),0)</f>
        <v>0</v>
      </c>
      <c r="U208" s="152"/>
      <c r="V208" s="153" t="s">
        <v>155</v>
      </c>
      <c r="W208" s="151">
        <f t="shared" ref="W208:W265" ca="1" si="89">IF($C208="S",ROUND(IF(TIPOORCAMENTO="Proposto",ORÇAMENTO.CustoUnitario*(1+$AH208),ORÇAMENTO.PrecoUnitarioLicitado),15-13*$AF$10),0)</f>
        <v>0</v>
      </c>
      <c r="X208" s="154">
        <f t="shared" ref="X208:X265" ca="1" si="90">IF($C208="S",VTOTAL1,IF($C208=0,0,ROUND(SomaAgrup,15-13*$AF$11)))</f>
        <v>0</v>
      </c>
      <c r="Y208" s="155" t="s">
        <v>244</v>
      </c>
      <c r="Z208" t="str">
        <f t="shared" ref="Z208:Z265" ca="1" si="91">IF(AND($C208="S",$X208&gt;0),IF(ISBLANK($Y208),"RA",LEFT($Y208,2)),"")</f>
        <v/>
      </c>
      <c r="AA208" s="156">
        <f ca="1">IF($C208="S",IF($Z208="CP",$X208,IF($Z208="RA",(($X208)*QCI!$AA$3),0)),SomaAgrup)</f>
        <v>0</v>
      </c>
      <c r="AB208" s="157">
        <f t="shared" ref="AB208:AB265" ca="1" si="92">IF($C208="S",IF($Z208="OU",ROUND($X208,2),0),SomaAgrup)</f>
        <v>0</v>
      </c>
      <c r="AC208" s="158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4" t="str">
        <f ca="1">IF(C208&lt;=CRONO.NivelExibicao,MAX($AD$15:OFFSET(AD208,-1,0))+IF($C208&lt;&gt;1,1,MAX(1,COUNTIF(QCI!$A$13:$A$24,OFFSET($E208,-1,0)))),"")</f>
        <v/>
      </c>
      <c r="AE208" s="114" t="b">
        <f t="shared" ref="AE208:AE265" ca="1" si="94">IF(AND($C208="S",ORÇAMENTO.CodBarra&lt;&gt;""),IF(ORÇAMENTO.Fonte="",ORÇAMENTO.CodBarra,CONCATENATE(ORÇAMENTO.Fonte," ",ORÇAMENTO.CodBarra)))</f>
        <v>0</v>
      </c>
      <c r="AF208" s="159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(abra o arquivo 'Referência 05-2023.xls)</v>
      </c>
      <c r="AG208" s="549">
        <f t="shared" ref="AG208:AG265" ca="1" si="96">ROUND(IF(DESONERACAO="sim",REFERENCIA.Desonerado,REFERENCIA.NaoDesonerado),2)</f>
        <v>0</v>
      </c>
      <c r="AH208" s="550">
        <f t="shared" ref="AH208:AH265" ca="1" si="97">ROUND(IF(ISNUMBER(ORÇAMENTO.OpcaoBDI),ORÇAMENTO.OpcaoBDI,IF(LEFT(ORÇAMENTO.OpcaoBDI,3)="BDI",HLOOKUP(ORÇAMENTO.OpcaoBDI,$F$4:$H$5,2,FALSE),0)),15-11*$AF$9)</f>
        <v>0.25</v>
      </c>
      <c r="AJ208" s="552"/>
      <c r="AL208" s="573"/>
      <c r="AM208" s="430">
        <f t="shared" ref="AM208:AM265" ca="1" si="98">$X208</f>
        <v>0</v>
      </c>
      <c r="AN208" s="616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4</v>
      </c>
      <c r="G209">
        <f t="shared" ca="1" si="80"/>
        <v>0</v>
      </c>
      <c r="H209">
        <f t="shared" ca="1" si="81"/>
        <v>0</v>
      </c>
      <c r="I209">
        <f t="shared" ca="1" si="82"/>
        <v>1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3" t="str">
        <f t="shared" ca="1" si="84"/>
        <v/>
      </c>
      <c r="M209" s="144" t="s">
        <v>198</v>
      </c>
      <c r="N209" s="145" t="str">
        <f t="shared" ca="1" si="85"/>
        <v>Serviço</v>
      </c>
      <c r="O209" s="146" t="str">
        <f t="shared" ca="1" si="86"/>
        <v>-</v>
      </c>
      <c r="P209" s="147" t="s">
        <v>246</v>
      </c>
      <c r="Q209" s="148"/>
      <c r="R209" s="149" t="str">
        <f t="shared" ca="1" si="87"/>
        <v>(abra o arquivo 'Referência 05-2023.xls)</v>
      </c>
      <c r="S209" s="150" t="str">
        <f t="shared" ca="1" si="88"/>
        <v>-</v>
      </c>
      <c r="T209" s="151">
        <f ca="1">OFFSET(CÁLCULO!H$15,ROW($T209)-ROW(T$15),0)</f>
        <v>0</v>
      </c>
      <c r="U209" s="152"/>
      <c r="V209" s="153" t="s">
        <v>155</v>
      </c>
      <c r="W209" s="151">
        <f t="shared" ca="1" si="89"/>
        <v>0</v>
      </c>
      <c r="X209" s="154">
        <f t="shared" ca="1" si="90"/>
        <v>0</v>
      </c>
      <c r="Y209" s="155" t="s">
        <v>244</v>
      </c>
      <c r="Z209" t="str">
        <f t="shared" ca="1" si="91"/>
        <v/>
      </c>
      <c r="AA209" s="156">
        <f ca="1">IF($C209="S",IF($Z209="CP",$X209,IF($Z209="RA",(($X209)*QCI!$AA$3),0)),SomaAgrup)</f>
        <v>0</v>
      </c>
      <c r="AB209" s="157">
        <f t="shared" ca="1" si="92"/>
        <v>0</v>
      </c>
      <c r="AC209" s="158" t="str">
        <f t="shared" ca="1" si="93"/>
        <v/>
      </c>
      <c r="AD209" s="104" t="str">
        <f ca="1">IF(C209&lt;=CRONO.NivelExibicao,MAX($AD$15:OFFSET(AD209,-1,0))+IF($C209&lt;&gt;1,1,MAX(1,COUNTIF(QCI!$A$13:$A$24,OFFSET($E209,-1,0)))),"")</f>
        <v/>
      </c>
      <c r="AE209" s="114" t="b">
        <f t="shared" ca="1" si="94"/>
        <v>0</v>
      </c>
      <c r="AF209" s="159" t="str">
        <f t="shared" ca="1" si="95"/>
        <v>(abra o arquivo 'Referência 05-2023.xls)</v>
      </c>
      <c r="AG209" s="549">
        <f t="shared" ca="1" si="96"/>
        <v>0</v>
      </c>
      <c r="AH209" s="550">
        <f t="shared" ca="1" si="97"/>
        <v>0.25</v>
      </c>
      <c r="AJ209" s="552"/>
      <c r="AL209" s="573"/>
      <c r="AM209" s="430">
        <f t="shared" ca="1" si="98"/>
        <v>0</v>
      </c>
      <c r="AN209" s="616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4</v>
      </c>
      <c r="G210">
        <f t="shared" ca="1" si="80"/>
        <v>0</v>
      </c>
      <c r="H210">
        <f t="shared" ca="1" si="81"/>
        <v>0</v>
      </c>
      <c r="I210">
        <f t="shared" ca="1" si="82"/>
        <v>1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3" t="str">
        <f t="shared" ca="1" si="84"/>
        <v/>
      </c>
      <c r="M210" s="144" t="s">
        <v>198</v>
      </c>
      <c r="N210" s="145" t="str">
        <f t="shared" ca="1" si="85"/>
        <v>Serviço</v>
      </c>
      <c r="O210" s="146" t="str">
        <f t="shared" ca="1" si="86"/>
        <v>-</v>
      </c>
      <c r="P210" s="147" t="s">
        <v>246</v>
      </c>
      <c r="Q210" s="148"/>
      <c r="R210" s="149" t="str">
        <f t="shared" ca="1" si="87"/>
        <v>(abra o arquivo 'Referência 05-2023.xls)</v>
      </c>
      <c r="S210" s="150" t="str">
        <f t="shared" ca="1" si="88"/>
        <v>-</v>
      </c>
      <c r="T210" s="151">
        <f ca="1">OFFSET(CÁLCULO!H$15,ROW($T210)-ROW(T$15),0)</f>
        <v>0</v>
      </c>
      <c r="U210" s="152"/>
      <c r="V210" s="153" t="s">
        <v>155</v>
      </c>
      <c r="W210" s="151">
        <f t="shared" ca="1" si="89"/>
        <v>0</v>
      </c>
      <c r="X210" s="154">
        <f t="shared" ca="1" si="90"/>
        <v>0</v>
      </c>
      <c r="Y210" s="155" t="s">
        <v>244</v>
      </c>
      <c r="Z210" t="str">
        <f t="shared" ca="1" si="91"/>
        <v/>
      </c>
      <c r="AA210" s="156">
        <f ca="1">IF($C210="S",IF($Z210="CP",$X210,IF($Z210="RA",(($X210)*QCI!$AA$3),0)),SomaAgrup)</f>
        <v>0</v>
      </c>
      <c r="AB210" s="157">
        <f t="shared" ca="1" si="92"/>
        <v>0</v>
      </c>
      <c r="AC210" s="158" t="str">
        <f t="shared" ca="1" si="93"/>
        <v/>
      </c>
      <c r="AD210" s="104" t="str">
        <f ca="1">IF(C210&lt;=CRONO.NivelExibicao,MAX($AD$15:OFFSET(AD210,-1,0))+IF($C210&lt;&gt;1,1,MAX(1,COUNTIF(QCI!$A$13:$A$24,OFFSET($E210,-1,0)))),"")</f>
        <v/>
      </c>
      <c r="AE210" s="114" t="b">
        <f t="shared" ca="1" si="94"/>
        <v>0</v>
      </c>
      <c r="AF210" s="159" t="str">
        <f t="shared" ca="1" si="95"/>
        <v>(abra o arquivo 'Referência 05-2023.xls)</v>
      </c>
      <c r="AG210" s="549">
        <f t="shared" ca="1" si="96"/>
        <v>0</v>
      </c>
      <c r="AH210" s="550">
        <f t="shared" ca="1" si="97"/>
        <v>0.25</v>
      </c>
      <c r="AJ210" s="552"/>
      <c r="AL210" s="573"/>
      <c r="AM210" s="430">
        <f t="shared" ca="1" si="98"/>
        <v>0</v>
      </c>
      <c r="AN210" s="616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4</v>
      </c>
      <c r="G211">
        <f t="shared" ca="1" si="80"/>
        <v>0</v>
      </c>
      <c r="H211">
        <f t="shared" ca="1" si="81"/>
        <v>0</v>
      </c>
      <c r="I211">
        <f t="shared" ca="1" si="82"/>
        <v>1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3" t="str">
        <f t="shared" ca="1" si="84"/>
        <v/>
      </c>
      <c r="M211" s="144" t="s">
        <v>198</v>
      </c>
      <c r="N211" s="145" t="str">
        <f t="shared" ca="1" si="85"/>
        <v>Serviço</v>
      </c>
      <c r="O211" s="146" t="str">
        <f t="shared" ca="1" si="86"/>
        <v>-</v>
      </c>
      <c r="P211" s="147" t="s">
        <v>246</v>
      </c>
      <c r="Q211" s="148"/>
      <c r="R211" s="149" t="str">
        <f t="shared" ca="1" si="87"/>
        <v>(abra o arquivo 'Referência 05-2023.xls)</v>
      </c>
      <c r="S211" s="150" t="str">
        <f t="shared" ca="1" si="88"/>
        <v>-</v>
      </c>
      <c r="T211" s="151">
        <f ca="1">OFFSET(CÁLCULO!H$15,ROW($T211)-ROW(T$15),0)</f>
        <v>0</v>
      </c>
      <c r="U211" s="152"/>
      <c r="V211" s="153" t="s">
        <v>155</v>
      </c>
      <c r="W211" s="151">
        <f t="shared" ca="1" si="89"/>
        <v>0</v>
      </c>
      <c r="X211" s="154">
        <f t="shared" ca="1" si="90"/>
        <v>0</v>
      </c>
      <c r="Y211" s="155" t="s">
        <v>244</v>
      </c>
      <c r="Z211" t="str">
        <f t="shared" ca="1" si="91"/>
        <v/>
      </c>
      <c r="AA211" s="156">
        <f ca="1">IF($C211="S",IF($Z211="CP",$X211,IF($Z211="RA",(($X211)*QCI!$AA$3),0)),SomaAgrup)</f>
        <v>0</v>
      </c>
      <c r="AB211" s="157">
        <f t="shared" ca="1" si="92"/>
        <v>0</v>
      </c>
      <c r="AC211" s="158" t="str">
        <f t="shared" ca="1" si="93"/>
        <v/>
      </c>
      <c r="AD211" s="104" t="str">
        <f ca="1">IF(C211&lt;=CRONO.NivelExibicao,MAX($AD$15:OFFSET(AD211,-1,0))+IF($C211&lt;&gt;1,1,MAX(1,COUNTIF(QCI!$A$13:$A$24,OFFSET($E211,-1,0)))),"")</f>
        <v/>
      </c>
      <c r="AE211" s="114" t="b">
        <f t="shared" ca="1" si="94"/>
        <v>0</v>
      </c>
      <c r="AF211" s="159" t="str">
        <f t="shared" ca="1" si="95"/>
        <v>(abra o arquivo 'Referência 05-2023.xls)</v>
      </c>
      <c r="AG211" s="549">
        <f t="shared" ca="1" si="96"/>
        <v>0</v>
      </c>
      <c r="AH211" s="550">
        <f t="shared" ca="1" si="97"/>
        <v>0.25</v>
      </c>
      <c r="AJ211" s="552"/>
      <c r="AL211" s="573"/>
      <c r="AM211" s="430">
        <f t="shared" ca="1" si="98"/>
        <v>0</v>
      </c>
      <c r="AN211" s="616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4</v>
      </c>
      <c r="G212">
        <f t="shared" ca="1" si="80"/>
        <v>0</v>
      </c>
      <c r="H212">
        <f t="shared" ca="1" si="81"/>
        <v>0</v>
      </c>
      <c r="I212">
        <f t="shared" ca="1" si="82"/>
        <v>1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3" t="str">
        <f t="shared" ca="1" si="84"/>
        <v/>
      </c>
      <c r="M212" s="144" t="s">
        <v>198</v>
      </c>
      <c r="N212" s="145" t="str">
        <f t="shared" ca="1" si="85"/>
        <v>Serviço</v>
      </c>
      <c r="O212" s="146" t="str">
        <f t="shared" ca="1" si="86"/>
        <v>-</v>
      </c>
      <c r="P212" s="147" t="s">
        <v>246</v>
      </c>
      <c r="Q212" s="148"/>
      <c r="R212" s="149" t="str">
        <f t="shared" ca="1" si="87"/>
        <v>(abra o arquivo 'Referência 05-2023.xls)</v>
      </c>
      <c r="S212" s="150" t="str">
        <f t="shared" ca="1" si="88"/>
        <v>-</v>
      </c>
      <c r="T212" s="151">
        <f ca="1">OFFSET(CÁLCULO!H$15,ROW($T212)-ROW(T$15),0)</f>
        <v>0</v>
      </c>
      <c r="U212" s="152"/>
      <c r="V212" s="153" t="s">
        <v>155</v>
      </c>
      <c r="W212" s="151">
        <f t="shared" ca="1" si="89"/>
        <v>0</v>
      </c>
      <c r="X212" s="154">
        <f t="shared" ca="1" si="90"/>
        <v>0</v>
      </c>
      <c r="Y212" s="155" t="s">
        <v>244</v>
      </c>
      <c r="Z212" t="str">
        <f t="shared" ca="1" si="91"/>
        <v/>
      </c>
      <c r="AA212" s="156">
        <f ca="1">IF($C212="S",IF($Z212="CP",$X212,IF($Z212="RA",(($X212)*QCI!$AA$3),0)),SomaAgrup)</f>
        <v>0</v>
      </c>
      <c r="AB212" s="157">
        <f t="shared" ca="1" si="92"/>
        <v>0</v>
      </c>
      <c r="AC212" s="158" t="str">
        <f t="shared" ca="1" si="93"/>
        <v/>
      </c>
      <c r="AD212" s="104" t="str">
        <f ca="1">IF(C212&lt;=CRONO.NivelExibicao,MAX($AD$15:OFFSET(AD212,-1,0))+IF($C212&lt;&gt;1,1,MAX(1,COUNTIF(QCI!$A$13:$A$24,OFFSET($E212,-1,0)))),"")</f>
        <v/>
      </c>
      <c r="AE212" s="114" t="b">
        <f t="shared" ca="1" si="94"/>
        <v>0</v>
      </c>
      <c r="AF212" s="159" t="str">
        <f t="shared" ca="1" si="95"/>
        <v>(abra o arquivo 'Referência 05-2023.xls)</v>
      </c>
      <c r="AG212" s="549">
        <f t="shared" ca="1" si="96"/>
        <v>0</v>
      </c>
      <c r="AH212" s="550">
        <f t="shared" ca="1" si="97"/>
        <v>0.25</v>
      </c>
      <c r="AJ212" s="552"/>
      <c r="AL212" s="573"/>
      <c r="AM212" s="430">
        <f t="shared" ca="1" si="98"/>
        <v>0</v>
      </c>
      <c r="AN212" s="616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4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3" t="str">
        <f t="shared" ca="1" si="84"/>
        <v/>
      </c>
      <c r="M213" s="144" t="s">
        <v>198</v>
      </c>
      <c r="N213" s="145" t="str">
        <f t="shared" ca="1" si="85"/>
        <v>Serviço</v>
      </c>
      <c r="O213" s="146" t="str">
        <f t="shared" ca="1" si="86"/>
        <v>-</v>
      </c>
      <c r="P213" s="147" t="s">
        <v>246</v>
      </c>
      <c r="Q213" s="148"/>
      <c r="R213" s="149" t="str">
        <f t="shared" ca="1" si="87"/>
        <v>(abra o arquivo 'Referência 05-2023.xls)</v>
      </c>
      <c r="S213" s="150" t="str">
        <f t="shared" ca="1" si="88"/>
        <v>-</v>
      </c>
      <c r="T213" s="151">
        <f ca="1">OFFSET(CÁLCULO!H$15,ROW($T213)-ROW(T$15),0)</f>
        <v>0</v>
      </c>
      <c r="U213" s="152"/>
      <c r="V213" s="153" t="s">
        <v>155</v>
      </c>
      <c r="W213" s="151">
        <f t="shared" ca="1" si="89"/>
        <v>0</v>
      </c>
      <c r="X213" s="154">
        <f t="shared" ca="1" si="90"/>
        <v>0</v>
      </c>
      <c r="Y213" s="155" t="s">
        <v>244</v>
      </c>
      <c r="Z213" t="str">
        <f t="shared" ca="1" si="91"/>
        <v/>
      </c>
      <c r="AA213" s="156">
        <f ca="1">IF($C213="S",IF($Z213="CP",$X213,IF($Z213="RA",(($X213)*QCI!$AA$3),0)),SomaAgrup)</f>
        <v>0</v>
      </c>
      <c r="AB213" s="157">
        <f t="shared" ca="1" si="92"/>
        <v>0</v>
      </c>
      <c r="AC213" s="158" t="str">
        <f t="shared" ca="1" si="93"/>
        <v/>
      </c>
      <c r="AD213" s="104" t="str">
        <f ca="1">IF(C213&lt;=CRONO.NivelExibicao,MAX($AD$15:OFFSET(AD213,-1,0))+IF($C213&lt;&gt;1,1,MAX(1,COUNTIF(QCI!$A$13:$A$24,OFFSET($E213,-1,0)))),"")</f>
        <v/>
      </c>
      <c r="AE213" s="114" t="b">
        <f t="shared" ca="1" si="94"/>
        <v>0</v>
      </c>
      <c r="AF213" s="159" t="str">
        <f t="shared" ca="1" si="95"/>
        <v>(abra o arquivo 'Referência 05-2023.xls)</v>
      </c>
      <c r="AG213" s="549">
        <f t="shared" ca="1" si="96"/>
        <v>0</v>
      </c>
      <c r="AH213" s="550">
        <f t="shared" ca="1" si="97"/>
        <v>0.25</v>
      </c>
      <c r="AJ213" s="552"/>
      <c r="AL213" s="573"/>
      <c r="AM213" s="430">
        <f t="shared" ca="1" si="98"/>
        <v>0</v>
      </c>
      <c r="AN213" s="616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4</v>
      </c>
      <c r="G214">
        <f t="shared" ca="1" si="80"/>
        <v>0</v>
      </c>
      <c r="H214">
        <f t="shared" ca="1" si="81"/>
        <v>0</v>
      </c>
      <c r="I214">
        <f t="shared" ca="1" si="82"/>
        <v>1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3" t="str">
        <f t="shared" ca="1" si="84"/>
        <v/>
      </c>
      <c r="M214" s="144" t="s">
        <v>198</v>
      </c>
      <c r="N214" s="145" t="str">
        <f t="shared" ca="1" si="85"/>
        <v>Serviço</v>
      </c>
      <c r="O214" s="146" t="str">
        <f t="shared" ca="1" si="86"/>
        <v>-</v>
      </c>
      <c r="P214" s="147" t="s">
        <v>246</v>
      </c>
      <c r="Q214" s="148"/>
      <c r="R214" s="149" t="str">
        <f t="shared" ca="1" si="87"/>
        <v>(abra o arquivo 'Referência 05-2023.xls)</v>
      </c>
      <c r="S214" s="150" t="str">
        <f t="shared" ca="1" si="88"/>
        <v>-</v>
      </c>
      <c r="T214" s="151">
        <f ca="1">OFFSET(CÁLCULO!H$15,ROW($T214)-ROW(T$15),0)</f>
        <v>0</v>
      </c>
      <c r="U214" s="152"/>
      <c r="V214" s="153" t="s">
        <v>155</v>
      </c>
      <c r="W214" s="151">
        <f t="shared" ca="1" si="89"/>
        <v>0</v>
      </c>
      <c r="X214" s="154">
        <f t="shared" ca="1" si="90"/>
        <v>0</v>
      </c>
      <c r="Y214" s="155" t="s">
        <v>244</v>
      </c>
      <c r="Z214" t="str">
        <f t="shared" ca="1" si="91"/>
        <v/>
      </c>
      <c r="AA214" s="156">
        <f ca="1">IF($C214="S",IF($Z214="CP",$X214,IF($Z214="RA",(($X214)*QCI!$AA$3),0)),SomaAgrup)</f>
        <v>0</v>
      </c>
      <c r="AB214" s="157">
        <f t="shared" ca="1" si="92"/>
        <v>0</v>
      </c>
      <c r="AC214" s="158" t="str">
        <f t="shared" ca="1" si="93"/>
        <v/>
      </c>
      <c r="AD214" s="104" t="str">
        <f ca="1">IF(C214&lt;=CRONO.NivelExibicao,MAX($AD$15:OFFSET(AD214,-1,0))+IF($C214&lt;&gt;1,1,MAX(1,COUNTIF(QCI!$A$13:$A$24,OFFSET($E214,-1,0)))),"")</f>
        <v/>
      </c>
      <c r="AE214" s="114" t="b">
        <f t="shared" ca="1" si="94"/>
        <v>0</v>
      </c>
      <c r="AF214" s="159" t="str">
        <f t="shared" ca="1" si="95"/>
        <v>(abra o arquivo 'Referência 05-2023.xls)</v>
      </c>
      <c r="AG214" s="549">
        <f t="shared" ca="1" si="96"/>
        <v>0</v>
      </c>
      <c r="AH214" s="550">
        <f t="shared" ca="1" si="97"/>
        <v>0.25</v>
      </c>
      <c r="AJ214" s="552"/>
      <c r="AL214" s="573"/>
      <c r="AM214" s="430">
        <f t="shared" ca="1" si="98"/>
        <v>0</v>
      </c>
      <c r="AN214" s="616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</v>
      </c>
      <c r="F215">
        <f t="shared" ca="1" si="79"/>
        <v>4</v>
      </c>
      <c r="G215">
        <f t="shared" ca="1" si="80"/>
        <v>0</v>
      </c>
      <c r="H215">
        <f t="shared" ca="1" si="81"/>
        <v>0</v>
      </c>
      <c r="I215">
        <f t="shared" ca="1" si="82"/>
        <v>1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3" t="str">
        <f t="shared" ca="1" si="84"/>
        <v/>
      </c>
      <c r="M215" s="144" t="s">
        <v>198</v>
      </c>
      <c r="N215" s="145" t="str">
        <f t="shared" ca="1" si="85"/>
        <v>Serviço</v>
      </c>
      <c r="O215" s="146" t="str">
        <f t="shared" ca="1" si="86"/>
        <v>-</v>
      </c>
      <c r="P215" s="147" t="s">
        <v>246</v>
      </c>
      <c r="Q215" s="148"/>
      <c r="R215" s="149" t="str">
        <f t="shared" ca="1" si="87"/>
        <v>(abra o arquivo 'Referência 05-2023.xls)</v>
      </c>
      <c r="S215" s="150" t="str">
        <f t="shared" ca="1" si="88"/>
        <v>-</v>
      </c>
      <c r="T215" s="151">
        <f ca="1">OFFSET(CÁLCULO!H$15,ROW($T215)-ROW(T$15),0)</f>
        <v>0</v>
      </c>
      <c r="U215" s="152"/>
      <c r="V215" s="153" t="s">
        <v>155</v>
      </c>
      <c r="W215" s="151">
        <f t="shared" ca="1" si="89"/>
        <v>0</v>
      </c>
      <c r="X215" s="154">
        <f t="shared" ca="1" si="90"/>
        <v>0</v>
      </c>
      <c r="Y215" s="155" t="s">
        <v>244</v>
      </c>
      <c r="Z215" t="str">
        <f t="shared" ca="1" si="91"/>
        <v/>
      </c>
      <c r="AA215" s="156">
        <f ca="1">IF($C215="S",IF($Z215="CP",$X215,IF($Z215="RA",(($X215)*QCI!$AA$3),0)),SomaAgrup)</f>
        <v>0</v>
      </c>
      <c r="AB215" s="157">
        <f t="shared" ca="1" si="92"/>
        <v>0</v>
      </c>
      <c r="AC215" s="158" t="str">
        <f t="shared" ca="1" si="93"/>
        <v/>
      </c>
      <c r="AD215" s="104" t="str">
        <f ca="1">IF(C215&lt;=CRONO.NivelExibicao,MAX($AD$15:OFFSET(AD215,-1,0))+IF($C215&lt;&gt;1,1,MAX(1,COUNTIF(QCI!$A$13:$A$24,OFFSET($E215,-1,0)))),"")</f>
        <v/>
      </c>
      <c r="AE215" s="114" t="b">
        <f t="shared" ca="1" si="94"/>
        <v>0</v>
      </c>
      <c r="AF215" s="159" t="str">
        <f t="shared" ca="1" si="95"/>
        <v>(abra o arquivo 'Referência 05-2023.xls)</v>
      </c>
      <c r="AG215" s="549">
        <f t="shared" ca="1" si="96"/>
        <v>0</v>
      </c>
      <c r="AH215" s="550">
        <f t="shared" ca="1" si="97"/>
        <v>0.25</v>
      </c>
      <c r="AJ215" s="552"/>
      <c r="AL215" s="573"/>
      <c r="AM215" s="430">
        <f t="shared" ca="1" si="98"/>
        <v>0</v>
      </c>
      <c r="AN215" s="616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4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3" t="str">
        <f t="shared" ca="1" si="84"/>
        <v/>
      </c>
      <c r="M216" s="144" t="s">
        <v>198</v>
      </c>
      <c r="N216" s="145" t="str">
        <f t="shared" ca="1" si="85"/>
        <v>Serviço</v>
      </c>
      <c r="O216" s="146" t="str">
        <f t="shared" ca="1" si="86"/>
        <v>-</v>
      </c>
      <c r="P216" s="147" t="s">
        <v>246</v>
      </c>
      <c r="Q216" s="148"/>
      <c r="R216" s="149" t="str">
        <f t="shared" ca="1" si="87"/>
        <v>(abra o arquivo 'Referência 05-2023.xls)</v>
      </c>
      <c r="S216" s="150" t="str">
        <f t="shared" ca="1" si="88"/>
        <v>-</v>
      </c>
      <c r="T216" s="151">
        <f ca="1">OFFSET(CÁLCULO!H$15,ROW($T216)-ROW(T$15),0)</f>
        <v>0</v>
      </c>
      <c r="U216" s="152"/>
      <c r="V216" s="153" t="s">
        <v>155</v>
      </c>
      <c r="W216" s="151">
        <f t="shared" ca="1" si="89"/>
        <v>0</v>
      </c>
      <c r="X216" s="154">
        <f t="shared" ca="1" si="90"/>
        <v>0</v>
      </c>
      <c r="Y216" s="155" t="s">
        <v>244</v>
      </c>
      <c r="Z216" t="str">
        <f t="shared" ca="1" si="91"/>
        <v/>
      </c>
      <c r="AA216" s="156">
        <f ca="1">IF($C216="S",IF($Z216="CP",$X216,IF($Z216="RA",(($X216)*QCI!$AA$3),0)),SomaAgrup)</f>
        <v>0</v>
      </c>
      <c r="AB216" s="157">
        <f t="shared" ca="1" si="92"/>
        <v>0</v>
      </c>
      <c r="AC216" s="158" t="str">
        <f t="shared" ca="1" si="93"/>
        <v/>
      </c>
      <c r="AD216" s="104" t="str">
        <f ca="1">IF(C216&lt;=CRONO.NivelExibicao,MAX($AD$15:OFFSET(AD216,-1,0))+IF($C216&lt;&gt;1,1,MAX(1,COUNTIF(QCI!$A$13:$A$24,OFFSET($E216,-1,0)))),"")</f>
        <v/>
      </c>
      <c r="AE216" s="114" t="b">
        <f t="shared" ca="1" si="94"/>
        <v>0</v>
      </c>
      <c r="AF216" s="159" t="str">
        <f t="shared" ca="1" si="95"/>
        <v>(abra o arquivo 'Referência 05-2023.xls)</v>
      </c>
      <c r="AG216" s="549">
        <f t="shared" ca="1" si="96"/>
        <v>0</v>
      </c>
      <c r="AH216" s="550">
        <f t="shared" ca="1" si="97"/>
        <v>0.25</v>
      </c>
      <c r="AJ216" s="552"/>
      <c r="AL216" s="573"/>
      <c r="AM216" s="430">
        <f t="shared" ca="1" si="98"/>
        <v>0</v>
      </c>
      <c r="AN216" s="616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4</v>
      </c>
      <c r="G217">
        <f t="shared" ca="1" si="80"/>
        <v>0</v>
      </c>
      <c r="H217">
        <f t="shared" ca="1" si="81"/>
        <v>0</v>
      </c>
      <c r="I217">
        <f t="shared" ca="1" si="82"/>
        <v>1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3" t="str">
        <f t="shared" ca="1" si="84"/>
        <v/>
      </c>
      <c r="M217" s="144" t="s">
        <v>198</v>
      </c>
      <c r="N217" s="145" t="str">
        <f t="shared" ca="1" si="85"/>
        <v>Serviço</v>
      </c>
      <c r="O217" s="146" t="str">
        <f t="shared" ca="1" si="86"/>
        <v>-</v>
      </c>
      <c r="P217" s="147" t="s">
        <v>246</v>
      </c>
      <c r="Q217" s="148"/>
      <c r="R217" s="149" t="str">
        <f t="shared" ca="1" si="87"/>
        <v>(abra o arquivo 'Referência 05-2023.xls)</v>
      </c>
      <c r="S217" s="150" t="str">
        <f t="shared" ca="1" si="88"/>
        <v>-</v>
      </c>
      <c r="T217" s="151">
        <f ca="1">OFFSET(CÁLCULO!H$15,ROW($T217)-ROW(T$15),0)</f>
        <v>0</v>
      </c>
      <c r="U217" s="152"/>
      <c r="V217" s="153" t="s">
        <v>155</v>
      </c>
      <c r="W217" s="151">
        <f t="shared" ca="1" si="89"/>
        <v>0</v>
      </c>
      <c r="X217" s="154">
        <f t="shared" ca="1" si="90"/>
        <v>0</v>
      </c>
      <c r="Y217" s="155" t="s">
        <v>244</v>
      </c>
      <c r="Z217" t="str">
        <f t="shared" ca="1" si="91"/>
        <v/>
      </c>
      <c r="AA217" s="156">
        <f ca="1">IF($C217="S",IF($Z217="CP",$X217,IF($Z217="RA",(($X217)*QCI!$AA$3),0)),SomaAgrup)</f>
        <v>0</v>
      </c>
      <c r="AB217" s="157">
        <f t="shared" ca="1" si="92"/>
        <v>0</v>
      </c>
      <c r="AC217" s="158" t="str">
        <f t="shared" ca="1" si="93"/>
        <v/>
      </c>
      <c r="AD217" s="104" t="str">
        <f ca="1">IF(C217&lt;=CRONO.NivelExibicao,MAX($AD$15:OFFSET(AD217,-1,0))+IF($C217&lt;&gt;1,1,MAX(1,COUNTIF(QCI!$A$13:$A$24,OFFSET($E217,-1,0)))),"")</f>
        <v/>
      </c>
      <c r="AE217" s="114" t="b">
        <f t="shared" ca="1" si="94"/>
        <v>0</v>
      </c>
      <c r="AF217" s="159" t="str">
        <f t="shared" ca="1" si="95"/>
        <v>(abra o arquivo 'Referência 05-2023.xls)</v>
      </c>
      <c r="AG217" s="549">
        <f t="shared" ca="1" si="96"/>
        <v>0</v>
      </c>
      <c r="AH217" s="550">
        <f t="shared" ca="1" si="97"/>
        <v>0.25</v>
      </c>
      <c r="AJ217" s="552"/>
      <c r="AL217" s="573"/>
      <c r="AM217" s="430">
        <f t="shared" ca="1" si="98"/>
        <v>0</v>
      </c>
      <c r="AN217" s="616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4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3" t="str">
        <f t="shared" ca="1" si="84"/>
        <v/>
      </c>
      <c r="M218" s="144" t="s">
        <v>198</v>
      </c>
      <c r="N218" s="145" t="str">
        <f t="shared" ca="1" si="85"/>
        <v>Serviço</v>
      </c>
      <c r="O218" s="146" t="str">
        <f t="shared" ca="1" si="86"/>
        <v>-</v>
      </c>
      <c r="P218" s="147" t="s">
        <v>246</v>
      </c>
      <c r="Q218" s="148"/>
      <c r="R218" s="149" t="str">
        <f t="shared" ca="1" si="87"/>
        <v>(abra o arquivo 'Referência 05-2023.xls)</v>
      </c>
      <c r="S218" s="150" t="str">
        <f t="shared" ca="1" si="88"/>
        <v>-</v>
      </c>
      <c r="T218" s="151">
        <f ca="1">OFFSET(CÁLCULO!H$15,ROW($T218)-ROW(T$15),0)</f>
        <v>0</v>
      </c>
      <c r="U218" s="152"/>
      <c r="V218" s="153" t="s">
        <v>155</v>
      </c>
      <c r="W218" s="151">
        <f t="shared" ca="1" si="89"/>
        <v>0</v>
      </c>
      <c r="X218" s="154">
        <f t="shared" ca="1" si="90"/>
        <v>0</v>
      </c>
      <c r="Y218" s="155" t="s">
        <v>244</v>
      </c>
      <c r="Z218" t="str">
        <f t="shared" ca="1" si="91"/>
        <v/>
      </c>
      <c r="AA218" s="156">
        <f ca="1">IF($C218="S",IF($Z218="CP",$X218,IF($Z218="RA",(($X218)*QCI!$AA$3),0)),SomaAgrup)</f>
        <v>0</v>
      </c>
      <c r="AB218" s="157">
        <f t="shared" ca="1" si="92"/>
        <v>0</v>
      </c>
      <c r="AC218" s="158" t="str">
        <f t="shared" ca="1" si="93"/>
        <v/>
      </c>
      <c r="AD218" s="104" t="str">
        <f ca="1">IF(C218&lt;=CRONO.NivelExibicao,MAX($AD$15:OFFSET(AD218,-1,0))+IF($C218&lt;&gt;1,1,MAX(1,COUNTIF(QCI!$A$13:$A$24,OFFSET($E218,-1,0)))),"")</f>
        <v/>
      </c>
      <c r="AE218" s="114" t="b">
        <f t="shared" ca="1" si="94"/>
        <v>0</v>
      </c>
      <c r="AF218" s="159" t="str">
        <f t="shared" ca="1" si="95"/>
        <v>(abra o arquivo 'Referência 05-2023.xls)</v>
      </c>
      <c r="AG218" s="549">
        <f t="shared" ca="1" si="96"/>
        <v>0</v>
      </c>
      <c r="AH218" s="550">
        <f t="shared" ca="1" si="97"/>
        <v>0.25</v>
      </c>
      <c r="AJ218" s="552"/>
      <c r="AL218" s="573"/>
      <c r="AM218" s="430">
        <f t="shared" ca="1" si="98"/>
        <v>0</v>
      </c>
      <c r="AN218" s="616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4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3" t="str">
        <f t="shared" ca="1" si="84"/>
        <v/>
      </c>
      <c r="M219" s="144" t="s">
        <v>198</v>
      </c>
      <c r="N219" s="145" t="str">
        <f t="shared" ca="1" si="85"/>
        <v>Serviço</v>
      </c>
      <c r="O219" s="146" t="str">
        <f t="shared" ca="1" si="86"/>
        <v>-</v>
      </c>
      <c r="P219" s="147" t="s">
        <v>246</v>
      </c>
      <c r="Q219" s="148"/>
      <c r="R219" s="149" t="str">
        <f t="shared" ca="1" si="87"/>
        <v>(abra o arquivo 'Referência 05-2023.xls)</v>
      </c>
      <c r="S219" s="150" t="str">
        <f t="shared" ca="1" si="88"/>
        <v>-</v>
      </c>
      <c r="T219" s="151">
        <f ca="1">OFFSET(CÁLCULO!H$15,ROW($T219)-ROW(T$15),0)</f>
        <v>0</v>
      </c>
      <c r="U219" s="152"/>
      <c r="V219" s="153" t="s">
        <v>155</v>
      </c>
      <c r="W219" s="151">
        <f t="shared" ca="1" si="89"/>
        <v>0</v>
      </c>
      <c r="X219" s="154">
        <f t="shared" ca="1" si="90"/>
        <v>0</v>
      </c>
      <c r="Y219" s="155" t="s">
        <v>244</v>
      </c>
      <c r="Z219" t="str">
        <f t="shared" ca="1" si="91"/>
        <v/>
      </c>
      <c r="AA219" s="156">
        <f ca="1">IF($C219="S",IF($Z219="CP",$X219,IF($Z219="RA",(($X219)*QCI!$AA$3),0)),SomaAgrup)</f>
        <v>0</v>
      </c>
      <c r="AB219" s="157">
        <f t="shared" ca="1" si="92"/>
        <v>0</v>
      </c>
      <c r="AC219" s="158" t="str">
        <f t="shared" ca="1" si="93"/>
        <v/>
      </c>
      <c r="AD219" s="104" t="str">
        <f ca="1">IF(C219&lt;=CRONO.NivelExibicao,MAX($AD$15:OFFSET(AD219,-1,0))+IF($C219&lt;&gt;1,1,MAX(1,COUNTIF(QCI!$A$13:$A$24,OFFSET($E219,-1,0)))),"")</f>
        <v/>
      </c>
      <c r="AE219" s="114" t="b">
        <f t="shared" ca="1" si="94"/>
        <v>0</v>
      </c>
      <c r="AF219" s="159" t="str">
        <f t="shared" ca="1" si="95"/>
        <v>(abra o arquivo 'Referência 05-2023.xls)</v>
      </c>
      <c r="AG219" s="549">
        <f t="shared" ca="1" si="96"/>
        <v>0</v>
      </c>
      <c r="AH219" s="550">
        <f t="shared" ca="1" si="97"/>
        <v>0.25</v>
      </c>
      <c r="AJ219" s="552"/>
      <c r="AL219" s="573"/>
      <c r="AM219" s="430">
        <f t="shared" ca="1" si="98"/>
        <v>0</v>
      </c>
      <c r="AN219" s="616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4</v>
      </c>
      <c r="G220">
        <f t="shared" ca="1" si="80"/>
        <v>0</v>
      </c>
      <c r="H220">
        <f t="shared" ca="1" si="81"/>
        <v>0</v>
      </c>
      <c r="I220">
        <f t="shared" ca="1" si="82"/>
        <v>1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3" t="str">
        <f t="shared" ca="1" si="84"/>
        <v/>
      </c>
      <c r="M220" s="144" t="s">
        <v>198</v>
      </c>
      <c r="N220" s="145" t="str">
        <f t="shared" ca="1" si="85"/>
        <v>Serviço</v>
      </c>
      <c r="O220" s="146" t="str">
        <f t="shared" ca="1" si="86"/>
        <v>-</v>
      </c>
      <c r="P220" s="147" t="s">
        <v>246</v>
      </c>
      <c r="Q220" s="148"/>
      <c r="R220" s="149" t="str">
        <f t="shared" ca="1" si="87"/>
        <v>(abra o arquivo 'Referência 05-2023.xls)</v>
      </c>
      <c r="S220" s="150" t="str">
        <f t="shared" ca="1" si="88"/>
        <v>-</v>
      </c>
      <c r="T220" s="151">
        <f ca="1">OFFSET(CÁLCULO!H$15,ROW($T220)-ROW(T$15),0)</f>
        <v>0</v>
      </c>
      <c r="U220" s="152"/>
      <c r="V220" s="153" t="s">
        <v>155</v>
      </c>
      <c r="W220" s="151">
        <f t="shared" ca="1" si="89"/>
        <v>0</v>
      </c>
      <c r="X220" s="154">
        <f t="shared" ca="1" si="90"/>
        <v>0</v>
      </c>
      <c r="Y220" s="155" t="s">
        <v>244</v>
      </c>
      <c r="Z220" t="str">
        <f t="shared" ca="1" si="91"/>
        <v/>
      </c>
      <c r="AA220" s="156">
        <f ca="1">IF($C220="S",IF($Z220="CP",$X220,IF($Z220="RA",(($X220)*QCI!$AA$3),0)),SomaAgrup)</f>
        <v>0</v>
      </c>
      <c r="AB220" s="157">
        <f t="shared" ca="1" si="92"/>
        <v>0</v>
      </c>
      <c r="AC220" s="158" t="str">
        <f t="shared" ca="1" si="93"/>
        <v/>
      </c>
      <c r="AD220" s="104" t="str">
        <f ca="1">IF(C220&lt;=CRONO.NivelExibicao,MAX($AD$15:OFFSET(AD220,-1,0))+IF($C220&lt;&gt;1,1,MAX(1,COUNTIF(QCI!$A$13:$A$24,OFFSET($E220,-1,0)))),"")</f>
        <v/>
      </c>
      <c r="AE220" s="114" t="b">
        <f t="shared" ca="1" si="94"/>
        <v>0</v>
      </c>
      <c r="AF220" s="159" t="str">
        <f t="shared" ca="1" si="95"/>
        <v>(abra o arquivo 'Referência 05-2023.xls)</v>
      </c>
      <c r="AG220" s="549">
        <f t="shared" ca="1" si="96"/>
        <v>0</v>
      </c>
      <c r="AH220" s="550">
        <f t="shared" ca="1" si="97"/>
        <v>0.25</v>
      </c>
      <c r="AJ220" s="552"/>
      <c r="AL220" s="573"/>
      <c r="AM220" s="430">
        <f t="shared" ca="1" si="98"/>
        <v>0</v>
      </c>
      <c r="AN220" s="616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4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3" t="str">
        <f t="shared" ca="1" si="84"/>
        <v/>
      </c>
      <c r="M221" s="144" t="s">
        <v>198</v>
      </c>
      <c r="N221" s="145" t="str">
        <f t="shared" ca="1" si="85"/>
        <v>Serviço</v>
      </c>
      <c r="O221" s="146" t="str">
        <f t="shared" ca="1" si="86"/>
        <v>-</v>
      </c>
      <c r="P221" s="147" t="s">
        <v>246</v>
      </c>
      <c r="Q221" s="148"/>
      <c r="R221" s="149" t="str">
        <f t="shared" ca="1" si="87"/>
        <v>(abra o arquivo 'Referência 05-2023.xls)</v>
      </c>
      <c r="S221" s="150" t="str">
        <f t="shared" ca="1" si="88"/>
        <v>-</v>
      </c>
      <c r="T221" s="151">
        <f ca="1">OFFSET(CÁLCULO!H$15,ROW($T221)-ROW(T$15),0)</f>
        <v>0</v>
      </c>
      <c r="U221" s="152"/>
      <c r="V221" s="153" t="s">
        <v>155</v>
      </c>
      <c r="W221" s="151">
        <f t="shared" ca="1" si="89"/>
        <v>0</v>
      </c>
      <c r="X221" s="154">
        <f t="shared" ca="1" si="90"/>
        <v>0</v>
      </c>
      <c r="Y221" s="155" t="s">
        <v>244</v>
      </c>
      <c r="Z221" t="str">
        <f t="shared" ca="1" si="91"/>
        <v/>
      </c>
      <c r="AA221" s="156">
        <f ca="1">IF($C221="S",IF($Z221="CP",$X221,IF($Z221="RA",(($X221)*QCI!$AA$3),0)),SomaAgrup)</f>
        <v>0</v>
      </c>
      <c r="AB221" s="157">
        <f t="shared" ca="1" si="92"/>
        <v>0</v>
      </c>
      <c r="AC221" s="158" t="str">
        <f t="shared" ca="1" si="93"/>
        <v/>
      </c>
      <c r="AD221" s="104" t="str">
        <f ca="1">IF(C221&lt;=CRONO.NivelExibicao,MAX($AD$15:OFFSET(AD221,-1,0))+IF($C221&lt;&gt;1,1,MAX(1,COUNTIF(QCI!$A$13:$A$24,OFFSET($E221,-1,0)))),"")</f>
        <v/>
      </c>
      <c r="AE221" s="114" t="b">
        <f t="shared" ca="1" si="94"/>
        <v>0</v>
      </c>
      <c r="AF221" s="159" t="str">
        <f t="shared" ca="1" si="95"/>
        <v>(abra o arquivo 'Referência 05-2023.xls)</v>
      </c>
      <c r="AG221" s="549">
        <f t="shared" ca="1" si="96"/>
        <v>0</v>
      </c>
      <c r="AH221" s="550">
        <f t="shared" ca="1" si="97"/>
        <v>0.25</v>
      </c>
      <c r="AJ221" s="552"/>
      <c r="AL221" s="573"/>
      <c r="AM221" s="430">
        <f t="shared" ca="1" si="98"/>
        <v>0</v>
      </c>
      <c r="AN221" s="616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4</v>
      </c>
      <c r="G222">
        <f t="shared" ca="1" si="80"/>
        <v>0</v>
      </c>
      <c r="H222">
        <f t="shared" ca="1" si="81"/>
        <v>0</v>
      </c>
      <c r="I222">
        <f t="shared" ca="1" si="82"/>
        <v>1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3" t="str">
        <f t="shared" ca="1" si="84"/>
        <v/>
      </c>
      <c r="M222" s="144" t="s">
        <v>198</v>
      </c>
      <c r="N222" s="145" t="str">
        <f t="shared" ca="1" si="85"/>
        <v>Serviço</v>
      </c>
      <c r="O222" s="146" t="str">
        <f t="shared" ca="1" si="86"/>
        <v>-</v>
      </c>
      <c r="P222" s="147" t="s">
        <v>246</v>
      </c>
      <c r="Q222" s="148"/>
      <c r="R222" s="149" t="str">
        <f t="shared" ca="1" si="87"/>
        <v>(abra o arquivo 'Referência 05-2023.xls)</v>
      </c>
      <c r="S222" s="150" t="str">
        <f t="shared" ca="1" si="88"/>
        <v>-</v>
      </c>
      <c r="T222" s="151">
        <f ca="1">OFFSET(CÁLCULO!H$15,ROW($T222)-ROW(T$15),0)</f>
        <v>0</v>
      </c>
      <c r="U222" s="152"/>
      <c r="V222" s="153" t="s">
        <v>155</v>
      </c>
      <c r="W222" s="151">
        <f t="shared" ca="1" si="89"/>
        <v>0</v>
      </c>
      <c r="X222" s="154">
        <f t="shared" ca="1" si="90"/>
        <v>0</v>
      </c>
      <c r="Y222" s="155" t="s">
        <v>244</v>
      </c>
      <c r="Z222" t="str">
        <f t="shared" ca="1" si="91"/>
        <v/>
      </c>
      <c r="AA222" s="156">
        <f ca="1">IF($C222="S",IF($Z222="CP",$X222,IF($Z222="RA",(($X222)*QCI!$AA$3),0)),SomaAgrup)</f>
        <v>0</v>
      </c>
      <c r="AB222" s="157">
        <f t="shared" ca="1" si="92"/>
        <v>0</v>
      </c>
      <c r="AC222" s="158" t="str">
        <f t="shared" ca="1" si="93"/>
        <v/>
      </c>
      <c r="AD222" s="104" t="str">
        <f ca="1">IF(C222&lt;=CRONO.NivelExibicao,MAX($AD$15:OFFSET(AD222,-1,0))+IF($C222&lt;&gt;1,1,MAX(1,COUNTIF(QCI!$A$13:$A$24,OFFSET($E222,-1,0)))),"")</f>
        <v/>
      </c>
      <c r="AE222" s="114" t="b">
        <f t="shared" ca="1" si="94"/>
        <v>0</v>
      </c>
      <c r="AF222" s="159" t="str">
        <f t="shared" ca="1" si="95"/>
        <v>(abra o arquivo 'Referência 05-2023.xls)</v>
      </c>
      <c r="AG222" s="549">
        <f t="shared" ca="1" si="96"/>
        <v>0</v>
      </c>
      <c r="AH222" s="550">
        <f t="shared" ca="1" si="97"/>
        <v>0.25</v>
      </c>
      <c r="AJ222" s="552"/>
      <c r="AL222" s="573"/>
      <c r="AM222" s="430">
        <f t="shared" ca="1" si="98"/>
        <v>0</v>
      </c>
      <c r="AN222" s="616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4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3" t="str">
        <f t="shared" ca="1" si="84"/>
        <v/>
      </c>
      <c r="M223" s="144" t="s">
        <v>198</v>
      </c>
      <c r="N223" s="145" t="str">
        <f t="shared" ca="1" si="85"/>
        <v>Serviço</v>
      </c>
      <c r="O223" s="146" t="str">
        <f t="shared" ca="1" si="86"/>
        <v>-</v>
      </c>
      <c r="P223" s="147" t="s">
        <v>246</v>
      </c>
      <c r="Q223" s="148"/>
      <c r="R223" s="149" t="str">
        <f t="shared" ca="1" si="87"/>
        <v>(abra o arquivo 'Referência 05-2023.xls)</v>
      </c>
      <c r="S223" s="150" t="str">
        <f t="shared" ca="1" si="88"/>
        <v>-</v>
      </c>
      <c r="T223" s="151">
        <f ca="1">OFFSET(CÁLCULO!H$15,ROW($T223)-ROW(T$15),0)</f>
        <v>0</v>
      </c>
      <c r="U223" s="152"/>
      <c r="V223" s="153" t="s">
        <v>155</v>
      </c>
      <c r="W223" s="151">
        <f t="shared" ca="1" si="89"/>
        <v>0</v>
      </c>
      <c r="X223" s="154">
        <f t="shared" ca="1" si="90"/>
        <v>0</v>
      </c>
      <c r="Y223" s="155" t="s">
        <v>244</v>
      </c>
      <c r="Z223" t="str">
        <f t="shared" ca="1" si="91"/>
        <v/>
      </c>
      <c r="AA223" s="156">
        <f ca="1">IF($C223="S",IF($Z223="CP",$X223,IF($Z223="RA",(($X223)*QCI!$AA$3),0)),SomaAgrup)</f>
        <v>0</v>
      </c>
      <c r="AB223" s="157">
        <f t="shared" ca="1" si="92"/>
        <v>0</v>
      </c>
      <c r="AC223" s="158" t="str">
        <f t="shared" ca="1" si="93"/>
        <v/>
      </c>
      <c r="AD223" s="104" t="str">
        <f ca="1">IF(C223&lt;=CRONO.NivelExibicao,MAX($AD$15:OFFSET(AD223,-1,0))+IF($C223&lt;&gt;1,1,MAX(1,COUNTIF(QCI!$A$13:$A$24,OFFSET($E223,-1,0)))),"")</f>
        <v/>
      </c>
      <c r="AE223" s="114" t="b">
        <f t="shared" ca="1" si="94"/>
        <v>0</v>
      </c>
      <c r="AF223" s="159" t="str">
        <f t="shared" ca="1" si="95"/>
        <v>(abra o arquivo 'Referência 05-2023.xls)</v>
      </c>
      <c r="AG223" s="549">
        <f t="shared" ca="1" si="96"/>
        <v>0</v>
      </c>
      <c r="AH223" s="550">
        <f t="shared" ca="1" si="97"/>
        <v>0.25</v>
      </c>
      <c r="AJ223" s="552"/>
      <c r="AL223" s="573"/>
      <c r="AM223" s="430">
        <f t="shared" ca="1" si="98"/>
        <v>0</v>
      </c>
      <c r="AN223" s="616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4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3" t="str">
        <f t="shared" ca="1" si="84"/>
        <v/>
      </c>
      <c r="M224" s="144" t="s">
        <v>198</v>
      </c>
      <c r="N224" s="145" t="str">
        <f t="shared" ca="1" si="85"/>
        <v>Serviço</v>
      </c>
      <c r="O224" s="146" t="str">
        <f t="shared" ca="1" si="86"/>
        <v>-</v>
      </c>
      <c r="P224" s="147" t="s">
        <v>246</v>
      </c>
      <c r="Q224" s="148"/>
      <c r="R224" s="149" t="str">
        <f t="shared" ca="1" si="87"/>
        <v>(abra o arquivo 'Referência 05-2023.xls)</v>
      </c>
      <c r="S224" s="150" t="str">
        <f t="shared" ca="1" si="88"/>
        <v>-</v>
      </c>
      <c r="T224" s="151">
        <f ca="1">OFFSET(CÁLCULO!H$15,ROW($T224)-ROW(T$15),0)</f>
        <v>0</v>
      </c>
      <c r="U224" s="152"/>
      <c r="V224" s="153" t="s">
        <v>155</v>
      </c>
      <c r="W224" s="151">
        <f t="shared" ca="1" si="89"/>
        <v>0</v>
      </c>
      <c r="X224" s="154">
        <f t="shared" ca="1" si="90"/>
        <v>0</v>
      </c>
      <c r="Y224" s="155" t="s">
        <v>244</v>
      </c>
      <c r="Z224" t="str">
        <f t="shared" ca="1" si="91"/>
        <v/>
      </c>
      <c r="AA224" s="156">
        <f ca="1">IF($C224="S",IF($Z224="CP",$X224,IF($Z224="RA",(($X224)*QCI!$AA$3),0)),SomaAgrup)</f>
        <v>0</v>
      </c>
      <c r="AB224" s="157">
        <f t="shared" ca="1" si="92"/>
        <v>0</v>
      </c>
      <c r="AC224" s="158" t="str">
        <f t="shared" ca="1" si="93"/>
        <v/>
      </c>
      <c r="AD224" s="104" t="str">
        <f ca="1">IF(C224&lt;=CRONO.NivelExibicao,MAX($AD$15:OFFSET(AD224,-1,0))+IF($C224&lt;&gt;1,1,MAX(1,COUNTIF(QCI!$A$13:$A$24,OFFSET($E224,-1,0)))),"")</f>
        <v/>
      </c>
      <c r="AE224" s="114" t="b">
        <f t="shared" ca="1" si="94"/>
        <v>0</v>
      </c>
      <c r="AF224" s="159" t="str">
        <f t="shared" ca="1" si="95"/>
        <v>(abra o arquivo 'Referência 05-2023.xls)</v>
      </c>
      <c r="AG224" s="549">
        <f t="shared" ca="1" si="96"/>
        <v>0</v>
      </c>
      <c r="AH224" s="550">
        <f t="shared" ca="1" si="97"/>
        <v>0.25</v>
      </c>
      <c r="AJ224" s="552"/>
      <c r="AL224" s="573"/>
      <c r="AM224" s="430">
        <f t="shared" ca="1" si="98"/>
        <v>0</v>
      </c>
      <c r="AN224" s="616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4</v>
      </c>
      <c r="G225">
        <f t="shared" ca="1" si="80"/>
        <v>0</v>
      </c>
      <c r="H225">
        <f t="shared" ca="1" si="81"/>
        <v>0</v>
      </c>
      <c r="I225">
        <f t="shared" ca="1" si="82"/>
        <v>1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3" t="str">
        <f t="shared" ca="1" si="84"/>
        <v/>
      </c>
      <c r="M225" s="144" t="s">
        <v>198</v>
      </c>
      <c r="N225" s="145" t="str">
        <f t="shared" ca="1" si="85"/>
        <v>Serviço</v>
      </c>
      <c r="O225" s="146" t="str">
        <f t="shared" ca="1" si="86"/>
        <v>-</v>
      </c>
      <c r="P225" s="147" t="s">
        <v>246</v>
      </c>
      <c r="Q225" s="148"/>
      <c r="R225" s="149" t="str">
        <f t="shared" ca="1" si="87"/>
        <v>(abra o arquivo 'Referência 05-2023.xls)</v>
      </c>
      <c r="S225" s="150" t="str">
        <f t="shared" ca="1" si="88"/>
        <v>-</v>
      </c>
      <c r="T225" s="151">
        <f ca="1">OFFSET(CÁLCULO!H$15,ROW($T225)-ROW(T$15),0)</f>
        <v>0</v>
      </c>
      <c r="U225" s="152"/>
      <c r="V225" s="153" t="s">
        <v>155</v>
      </c>
      <c r="W225" s="151">
        <f t="shared" ca="1" si="89"/>
        <v>0</v>
      </c>
      <c r="X225" s="154">
        <f t="shared" ca="1" si="90"/>
        <v>0</v>
      </c>
      <c r="Y225" s="155" t="s">
        <v>244</v>
      </c>
      <c r="Z225" t="str">
        <f t="shared" ca="1" si="91"/>
        <v/>
      </c>
      <c r="AA225" s="156">
        <f ca="1">IF($C225="S",IF($Z225="CP",$X225,IF($Z225="RA",(($X225)*QCI!$AA$3),0)),SomaAgrup)</f>
        <v>0</v>
      </c>
      <c r="AB225" s="157">
        <f t="shared" ca="1" si="92"/>
        <v>0</v>
      </c>
      <c r="AC225" s="158" t="str">
        <f t="shared" ca="1" si="93"/>
        <v/>
      </c>
      <c r="AD225" s="104" t="str">
        <f ca="1">IF(C225&lt;=CRONO.NivelExibicao,MAX($AD$15:OFFSET(AD225,-1,0))+IF($C225&lt;&gt;1,1,MAX(1,COUNTIF(QCI!$A$13:$A$24,OFFSET($E225,-1,0)))),"")</f>
        <v/>
      </c>
      <c r="AE225" s="114" t="b">
        <f t="shared" ca="1" si="94"/>
        <v>0</v>
      </c>
      <c r="AF225" s="159" t="str">
        <f t="shared" ca="1" si="95"/>
        <v>(abra o arquivo 'Referência 05-2023.xls)</v>
      </c>
      <c r="AG225" s="549">
        <f t="shared" ca="1" si="96"/>
        <v>0</v>
      </c>
      <c r="AH225" s="550">
        <f t="shared" ca="1" si="97"/>
        <v>0.25</v>
      </c>
      <c r="AJ225" s="552"/>
      <c r="AL225" s="573"/>
      <c r="AM225" s="430">
        <f t="shared" ca="1" si="98"/>
        <v>0</v>
      </c>
      <c r="AN225" s="616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4</v>
      </c>
      <c r="G226">
        <f t="shared" ca="1" si="80"/>
        <v>0</v>
      </c>
      <c r="H226">
        <f t="shared" ca="1" si="81"/>
        <v>0</v>
      </c>
      <c r="I226">
        <f t="shared" ca="1" si="82"/>
        <v>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3" t="str">
        <f t="shared" ca="1" si="84"/>
        <v/>
      </c>
      <c r="M226" s="144" t="s">
        <v>198</v>
      </c>
      <c r="N226" s="145" t="str">
        <f t="shared" ca="1" si="85"/>
        <v>Serviço</v>
      </c>
      <c r="O226" s="146" t="str">
        <f t="shared" ca="1" si="86"/>
        <v>-</v>
      </c>
      <c r="P226" s="147" t="s">
        <v>246</v>
      </c>
      <c r="Q226" s="148"/>
      <c r="R226" s="149" t="str">
        <f t="shared" ca="1" si="87"/>
        <v>(abra o arquivo 'Referência 05-2023.xls)</v>
      </c>
      <c r="S226" s="150" t="str">
        <f t="shared" ca="1" si="88"/>
        <v>-</v>
      </c>
      <c r="T226" s="151">
        <f ca="1">OFFSET(CÁLCULO!H$15,ROW($T226)-ROW(T$15),0)</f>
        <v>0</v>
      </c>
      <c r="U226" s="152"/>
      <c r="V226" s="153" t="s">
        <v>155</v>
      </c>
      <c r="W226" s="151">
        <f t="shared" ca="1" si="89"/>
        <v>0</v>
      </c>
      <c r="X226" s="154">
        <f t="shared" ca="1" si="90"/>
        <v>0</v>
      </c>
      <c r="Y226" s="155" t="s">
        <v>244</v>
      </c>
      <c r="Z226" t="str">
        <f t="shared" ca="1" si="91"/>
        <v/>
      </c>
      <c r="AA226" s="156">
        <f ca="1">IF($C226="S",IF($Z226="CP",$X226,IF($Z226="RA",(($X226)*QCI!$AA$3),0)),SomaAgrup)</f>
        <v>0</v>
      </c>
      <c r="AB226" s="157">
        <f t="shared" ca="1" si="92"/>
        <v>0</v>
      </c>
      <c r="AC226" s="158" t="str">
        <f t="shared" ca="1" si="93"/>
        <v/>
      </c>
      <c r="AD226" s="104" t="str">
        <f ca="1">IF(C226&lt;=CRONO.NivelExibicao,MAX($AD$15:OFFSET(AD226,-1,0))+IF($C226&lt;&gt;1,1,MAX(1,COUNTIF(QCI!$A$13:$A$24,OFFSET($E226,-1,0)))),"")</f>
        <v/>
      </c>
      <c r="AE226" s="114" t="b">
        <f t="shared" ca="1" si="94"/>
        <v>0</v>
      </c>
      <c r="AF226" s="159" t="str">
        <f t="shared" ca="1" si="95"/>
        <v>(abra o arquivo 'Referência 05-2023.xls)</v>
      </c>
      <c r="AG226" s="549">
        <f t="shared" ca="1" si="96"/>
        <v>0</v>
      </c>
      <c r="AH226" s="550">
        <f t="shared" ca="1" si="97"/>
        <v>0.25</v>
      </c>
      <c r="AJ226" s="552"/>
      <c r="AL226" s="573"/>
      <c r="AM226" s="430">
        <f t="shared" ca="1" si="98"/>
        <v>0</v>
      </c>
      <c r="AN226" s="616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4</v>
      </c>
      <c r="G227">
        <f t="shared" ca="1" si="80"/>
        <v>0</v>
      </c>
      <c r="H227">
        <f t="shared" ca="1" si="81"/>
        <v>0</v>
      </c>
      <c r="I227">
        <f t="shared" ca="1" si="82"/>
        <v>1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3" t="str">
        <f t="shared" ca="1" si="84"/>
        <v/>
      </c>
      <c r="M227" s="144" t="s">
        <v>198</v>
      </c>
      <c r="N227" s="145" t="str">
        <f t="shared" ca="1" si="85"/>
        <v>Serviço</v>
      </c>
      <c r="O227" s="146" t="str">
        <f t="shared" ca="1" si="86"/>
        <v>-</v>
      </c>
      <c r="P227" s="147" t="s">
        <v>246</v>
      </c>
      <c r="Q227" s="148"/>
      <c r="R227" s="149" t="str">
        <f t="shared" ca="1" si="87"/>
        <v>(abra o arquivo 'Referência 05-2023.xls)</v>
      </c>
      <c r="S227" s="150" t="str">
        <f t="shared" ca="1" si="88"/>
        <v>-</v>
      </c>
      <c r="T227" s="151">
        <f ca="1">OFFSET(CÁLCULO!H$15,ROW($T227)-ROW(T$15),0)</f>
        <v>0</v>
      </c>
      <c r="U227" s="152"/>
      <c r="V227" s="153" t="s">
        <v>155</v>
      </c>
      <c r="W227" s="151">
        <f t="shared" ca="1" si="89"/>
        <v>0</v>
      </c>
      <c r="X227" s="154">
        <f t="shared" ca="1" si="90"/>
        <v>0</v>
      </c>
      <c r="Y227" s="155" t="s">
        <v>244</v>
      </c>
      <c r="Z227" t="str">
        <f t="shared" ca="1" si="91"/>
        <v/>
      </c>
      <c r="AA227" s="156">
        <f ca="1">IF($C227="S",IF($Z227="CP",$X227,IF($Z227="RA",(($X227)*QCI!$AA$3),0)),SomaAgrup)</f>
        <v>0</v>
      </c>
      <c r="AB227" s="157">
        <f t="shared" ca="1" si="92"/>
        <v>0</v>
      </c>
      <c r="AC227" s="158" t="str">
        <f t="shared" ca="1" si="93"/>
        <v/>
      </c>
      <c r="AD227" s="104" t="str">
        <f ca="1">IF(C227&lt;=CRONO.NivelExibicao,MAX($AD$15:OFFSET(AD227,-1,0))+IF($C227&lt;&gt;1,1,MAX(1,COUNTIF(QCI!$A$13:$A$24,OFFSET($E227,-1,0)))),"")</f>
        <v/>
      </c>
      <c r="AE227" s="114" t="b">
        <f t="shared" ca="1" si="94"/>
        <v>0</v>
      </c>
      <c r="AF227" s="159" t="str">
        <f t="shared" ca="1" si="95"/>
        <v>(abra o arquivo 'Referência 05-2023.xls)</v>
      </c>
      <c r="AG227" s="549">
        <f t="shared" ca="1" si="96"/>
        <v>0</v>
      </c>
      <c r="AH227" s="550">
        <f t="shared" ca="1" si="97"/>
        <v>0.25</v>
      </c>
      <c r="AJ227" s="552"/>
      <c r="AL227" s="573"/>
      <c r="AM227" s="430">
        <f t="shared" ca="1" si="98"/>
        <v>0</v>
      </c>
      <c r="AN227" s="616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4</v>
      </c>
      <c r="G228">
        <f t="shared" ca="1" si="80"/>
        <v>0</v>
      </c>
      <c r="H228">
        <f t="shared" ca="1" si="81"/>
        <v>0</v>
      </c>
      <c r="I228">
        <f t="shared" ca="1" si="82"/>
        <v>1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3" t="str">
        <f t="shared" ca="1" si="84"/>
        <v/>
      </c>
      <c r="M228" s="144" t="s">
        <v>198</v>
      </c>
      <c r="N228" s="145" t="str">
        <f t="shared" ca="1" si="85"/>
        <v>Serviço</v>
      </c>
      <c r="O228" s="146" t="str">
        <f t="shared" ca="1" si="86"/>
        <v>-</v>
      </c>
      <c r="P228" s="147" t="s">
        <v>246</v>
      </c>
      <c r="Q228" s="148"/>
      <c r="R228" s="149" t="str">
        <f t="shared" ca="1" si="87"/>
        <v>(abra o arquivo 'Referência 05-2023.xls)</v>
      </c>
      <c r="S228" s="150" t="str">
        <f t="shared" ca="1" si="88"/>
        <v>-</v>
      </c>
      <c r="T228" s="151">
        <f ca="1">OFFSET(CÁLCULO!H$15,ROW($T228)-ROW(T$15),0)</f>
        <v>0</v>
      </c>
      <c r="U228" s="152"/>
      <c r="V228" s="153" t="s">
        <v>155</v>
      </c>
      <c r="W228" s="151">
        <f t="shared" ca="1" si="89"/>
        <v>0</v>
      </c>
      <c r="X228" s="154">
        <f t="shared" ca="1" si="90"/>
        <v>0</v>
      </c>
      <c r="Y228" s="155" t="s">
        <v>244</v>
      </c>
      <c r="Z228" t="str">
        <f t="shared" ca="1" si="91"/>
        <v/>
      </c>
      <c r="AA228" s="156">
        <f ca="1">IF($C228="S",IF($Z228="CP",$X228,IF($Z228="RA",(($X228)*QCI!$AA$3),0)),SomaAgrup)</f>
        <v>0</v>
      </c>
      <c r="AB228" s="157">
        <f t="shared" ca="1" si="92"/>
        <v>0</v>
      </c>
      <c r="AC228" s="158" t="str">
        <f t="shared" ca="1" si="93"/>
        <v/>
      </c>
      <c r="AD228" s="104" t="str">
        <f ca="1">IF(C228&lt;=CRONO.NivelExibicao,MAX($AD$15:OFFSET(AD228,-1,0))+IF($C228&lt;&gt;1,1,MAX(1,COUNTIF(QCI!$A$13:$A$24,OFFSET($E228,-1,0)))),"")</f>
        <v/>
      </c>
      <c r="AE228" s="114" t="b">
        <f t="shared" ca="1" si="94"/>
        <v>0</v>
      </c>
      <c r="AF228" s="159" t="str">
        <f t="shared" ca="1" si="95"/>
        <v>(abra o arquivo 'Referência 05-2023.xls)</v>
      </c>
      <c r="AG228" s="549">
        <f t="shared" ca="1" si="96"/>
        <v>0</v>
      </c>
      <c r="AH228" s="550">
        <f t="shared" ca="1" si="97"/>
        <v>0.25</v>
      </c>
      <c r="AJ228" s="552"/>
      <c r="AL228" s="573"/>
      <c r="AM228" s="430">
        <f t="shared" ca="1" si="98"/>
        <v>0</v>
      </c>
      <c r="AN228" s="616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4</v>
      </c>
      <c r="G229">
        <f t="shared" ca="1" si="80"/>
        <v>0</v>
      </c>
      <c r="H229">
        <f t="shared" ca="1" si="81"/>
        <v>0</v>
      </c>
      <c r="I229">
        <f t="shared" ca="1" si="82"/>
        <v>1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3" t="str">
        <f t="shared" ca="1" si="84"/>
        <v/>
      </c>
      <c r="M229" s="144" t="s">
        <v>198</v>
      </c>
      <c r="N229" s="145" t="str">
        <f t="shared" ca="1" si="85"/>
        <v>Serviço</v>
      </c>
      <c r="O229" s="146" t="str">
        <f t="shared" ca="1" si="86"/>
        <v>-</v>
      </c>
      <c r="P229" s="147" t="s">
        <v>246</v>
      </c>
      <c r="Q229" s="148"/>
      <c r="R229" s="149" t="str">
        <f t="shared" ca="1" si="87"/>
        <v>(abra o arquivo 'Referência 05-2023.xls)</v>
      </c>
      <c r="S229" s="150" t="str">
        <f t="shared" ca="1" si="88"/>
        <v>-</v>
      </c>
      <c r="T229" s="151">
        <f ca="1">OFFSET(CÁLCULO!H$15,ROW($T229)-ROW(T$15),0)</f>
        <v>0</v>
      </c>
      <c r="U229" s="152"/>
      <c r="V229" s="153" t="s">
        <v>155</v>
      </c>
      <c r="W229" s="151">
        <f t="shared" ca="1" si="89"/>
        <v>0</v>
      </c>
      <c r="X229" s="154">
        <f t="shared" ca="1" si="90"/>
        <v>0</v>
      </c>
      <c r="Y229" s="155" t="s">
        <v>244</v>
      </c>
      <c r="Z229" t="str">
        <f t="shared" ca="1" si="91"/>
        <v/>
      </c>
      <c r="AA229" s="156">
        <f ca="1">IF($C229="S",IF($Z229="CP",$X229,IF($Z229="RA",(($X229)*QCI!$AA$3),0)),SomaAgrup)</f>
        <v>0</v>
      </c>
      <c r="AB229" s="157">
        <f t="shared" ca="1" si="92"/>
        <v>0</v>
      </c>
      <c r="AC229" s="158" t="str">
        <f t="shared" ca="1" si="93"/>
        <v/>
      </c>
      <c r="AD229" s="104" t="str">
        <f ca="1">IF(C229&lt;=CRONO.NivelExibicao,MAX($AD$15:OFFSET(AD229,-1,0))+IF($C229&lt;&gt;1,1,MAX(1,COUNTIF(QCI!$A$13:$A$24,OFFSET($E229,-1,0)))),"")</f>
        <v/>
      </c>
      <c r="AE229" s="114" t="b">
        <f t="shared" ca="1" si="94"/>
        <v>0</v>
      </c>
      <c r="AF229" s="159" t="str">
        <f t="shared" ca="1" si="95"/>
        <v>(abra o arquivo 'Referência 05-2023.xls)</v>
      </c>
      <c r="AG229" s="549">
        <f t="shared" ca="1" si="96"/>
        <v>0</v>
      </c>
      <c r="AH229" s="550">
        <f t="shared" ca="1" si="97"/>
        <v>0.25</v>
      </c>
      <c r="AJ229" s="552"/>
      <c r="AL229" s="573"/>
      <c r="AM229" s="430">
        <f t="shared" ca="1" si="98"/>
        <v>0</v>
      </c>
      <c r="AN229" s="616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4</v>
      </c>
      <c r="G230">
        <f t="shared" ca="1" si="80"/>
        <v>0</v>
      </c>
      <c r="H230">
        <f t="shared" ca="1" si="81"/>
        <v>0</v>
      </c>
      <c r="I230">
        <f t="shared" ca="1" si="82"/>
        <v>1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3" t="str">
        <f t="shared" ca="1" si="84"/>
        <v/>
      </c>
      <c r="M230" s="144" t="s">
        <v>198</v>
      </c>
      <c r="N230" s="145" t="str">
        <f t="shared" ca="1" si="85"/>
        <v>Serviço</v>
      </c>
      <c r="O230" s="146" t="str">
        <f t="shared" ca="1" si="86"/>
        <v>-</v>
      </c>
      <c r="P230" s="147" t="s">
        <v>246</v>
      </c>
      <c r="Q230" s="148"/>
      <c r="R230" s="149" t="str">
        <f t="shared" ca="1" si="87"/>
        <v>(abra o arquivo 'Referência 05-2023.xls)</v>
      </c>
      <c r="S230" s="150" t="str">
        <f t="shared" ca="1" si="88"/>
        <v>-</v>
      </c>
      <c r="T230" s="151">
        <f ca="1">OFFSET(CÁLCULO!H$15,ROW($T230)-ROW(T$15),0)</f>
        <v>0</v>
      </c>
      <c r="U230" s="152"/>
      <c r="V230" s="153" t="s">
        <v>155</v>
      </c>
      <c r="W230" s="151">
        <f t="shared" ca="1" si="89"/>
        <v>0</v>
      </c>
      <c r="X230" s="154">
        <f t="shared" ca="1" si="90"/>
        <v>0</v>
      </c>
      <c r="Y230" s="155" t="s">
        <v>244</v>
      </c>
      <c r="Z230" t="str">
        <f t="shared" ca="1" si="91"/>
        <v/>
      </c>
      <c r="AA230" s="156">
        <f ca="1">IF($C230="S",IF($Z230="CP",$X230,IF($Z230="RA",(($X230)*QCI!$AA$3),0)),SomaAgrup)</f>
        <v>0</v>
      </c>
      <c r="AB230" s="157">
        <f t="shared" ca="1" si="92"/>
        <v>0</v>
      </c>
      <c r="AC230" s="158" t="str">
        <f t="shared" ca="1" si="93"/>
        <v/>
      </c>
      <c r="AD230" s="104" t="str">
        <f ca="1">IF(C230&lt;=CRONO.NivelExibicao,MAX($AD$15:OFFSET(AD230,-1,0))+IF($C230&lt;&gt;1,1,MAX(1,COUNTIF(QCI!$A$13:$A$24,OFFSET($E230,-1,0)))),"")</f>
        <v/>
      </c>
      <c r="AE230" s="114" t="b">
        <f t="shared" ca="1" si="94"/>
        <v>0</v>
      </c>
      <c r="AF230" s="159" t="str">
        <f t="shared" ca="1" si="95"/>
        <v>(abra o arquivo 'Referência 05-2023.xls)</v>
      </c>
      <c r="AG230" s="549">
        <f t="shared" ca="1" si="96"/>
        <v>0</v>
      </c>
      <c r="AH230" s="550">
        <f t="shared" ca="1" si="97"/>
        <v>0.25</v>
      </c>
      <c r="AJ230" s="552"/>
      <c r="AL230" s="573"/>
      <c r="AM230" s="430">
        <f t="shared" ca="1" si="98"/>
        <v>0</v>
      </c>
      <c r="AN230" s="616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4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3" t="str">
        <f t="shared" ca="1" si="84"/>
        <v/>
      </c>
      <c r="M231" s="144" t="s">
        <v>198</v>
      </c>
      <c r="N231" s="145" t="str">
        <f t="shared" ca="1" si="85"/>
        <v>Serviço</v>
      </c>
      <c r="O231" s="146" t="str">
        <f t="shared" ca="1" si="86"/>
        <v>-</v>
      </c>
      <c r="P231" s="147" t="s">
        <v>246</v>
      </c>
      <c r="Q231" s="148"/>
      <c r="R231" s="149" t="str">
        <f t="shared" ca="1" si="87"/>
        <v>(abra o arquivo 'Referência 05-2023.xls)</v>
      </c>
      <c r="S231" s="150" t="str">
        <f t="shared" ca="1" si="88"/>
        <v>-</v>
      </c>
      <c r="T231" s="151">
        <f ca="1">OFFSET(CÁLCULO!H$15,ROW($T231)-ROW(T$15),0)</f>
        <v>0</v>
      </c>
      <c r="U231" s="152"/>
      <c r="V231" s="153" t="s">
        <v>155</v>
      </c>
      <c r="W231" s="151">
        <f t="shared" ca="1" si="89"/>
        <v>0</v>
      </c>
      <c r="X231" s="154">
        <f t="shared" ca="1" si="90"/>
        <v>0</v>
      </c>
      <c r="Y231" s="155" t="s">
        <v>244</v>
      </c>
      <c r="Z231" t="str">
        <f t="shared" ca="1" si="91"/>
        <v/>
      </c>
      <c r="AA231" s="156">
        <f ca="1">IF($C231="S",IF($Z231="CP",$X231,IF($Z231="RA",(($X231)*QCI!$AA$3),0)),SomaAgrup)</f>
        <v>0</v>
      </c>
      <c r="AB231" s="157">
        <f t="shared" ca="1" si="92"/>
        <v>0</v>
      </c>
      <c r="AC231" s="158" t="str">
        <f t="shared" ca="1" si="93"/>
        <v/>
      </c>
      <c r="AD231" s="104" t="str">
        <f ca="1">IF(C231&lt;=CRONO.NivelExibicao,MAX($AD$15:OFFSET(AD231,-1,0))+IF($C231&lt;&gt;1,1,MAX(1,COUNTIF(QCI!$A$13:$A$24,OFFSET($E231,-1,0)))),"")</f>
        <v/>
      </c>
      <c r="AE231" s="114" t="b">
        <f t="shared" ca="1" si="94"/>
        <v>0</v>
      </c>
      <c r="AF231" s="159" t="str">
        <f t="shared" ca="1" si="95"/>
        <v>(abra o arquivo 'Referência 05-2023.xls)</v>
      </c>
      <c r="AG231" s="549">
        <f t="shared" ca="1" si="96"/>
        <v>0</v>
      </c>
      <c r="AH231" s="550">
        <f t="shared" ca="1" si="97"/>
        <v>0.25</v>
      </c>
      <c r="AJ231" s="552"/>
      <c r="AL231" s="573"/>
      <c r="AM231" s="430">
        <f t="shared" ca="1" si="98"/>
        <v>0</v>
      </c>
      <c r="AN231" s="616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4</v>
      </c>
      <c r="G232">
        <f t="shared" ca="1" si="80"/>
        <v>0</v>
      </c>
      <c r="H232">
        <f t="shared" ca="1" si="81"/>
        <v>0</v>
      </c>
      <c r="I232">
        <f t="shared" ca="1" si="82"/>
        <v>1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3" t="str">
        <f t="shared" ca="1" si="84"/>
        <v/>
      </c>
      <c r="M232" s="144" t="s">
        <v>198</v>
      </c>
      <c r="N232" s="145" t="str">
        <f t="shared" ca="1" si="85"/>
        <v>Serviço</v>
      </c>
      <c r="O232" s="146" t="str">
        <f t="shared" ca="1" si="86"/>
        <v>-</v>
      </c>
      <c r="P232" s="147" t="s">
        <v>246</v>
      </c>
      <c r="Q232" s="148"/>
      <c r="R232" s="149" t="str">
        <f t="shared" ca="1" si="87"/>
        <v>(abra o arquivo 'Referência 05-2023.xls)</v>
      </c>
      <c r="S232" s="150" t="str">
        <f t="shared" ca="1" si="88"/>
        <v>-</v>
      </c>
      <c r="T232" s="151">
        <f ca="1">OFFSET(CÁLCULO!H$15,ROW($T232)-ROW(T$15),0)</f>
        <v>0</v>
      </c>
      <c r="U232" s="152"/>
      <c r="V232" s="153" t="s">
        <v>155</v>
      </c>
      <c r="W232" s="151">
        <f t="shared" ca="1" si="89"/>
        <v>0</v>
      </c>
      <c r="X232" s="154">
        <f t="shared" ca="1" si="90"/>
        <v>0</v>
      </c>
      <c r="Y232" s="155" t="s">
        <v>244</v>
      </c>
      <c r="Z232" t="str">
        <f t="shared" ca="1" si="91"/>
        <v/>
      </c>
      <c r="AA232" s="156">
        <f ca="1">IF($C232="S",IF($Z232="CP",$X232,IF($Z232="RA",(($X232)*QCI!$AA$3),0)),SomaAgrup)</f>
        <v>0</v>
      </c>
      <c r="AB232" s="157">
        <f t="shared" ca="1" si="92"/>
        <v>0</v>
      </c>
      <c r="AC232" s="158" t="str">
        <f t="shared" ca="1" si="93"/>
        <v/>
      </c>
      <c r="AD232" s="104" t="str">
        <f ca="1">IF(C232&lt;=CRONO.NivelExibicao,MAX($AD$15:OFFSET(AD232,-1,0))+IF($C232&lt;&gt;1,1,MAX(1,COUNTIF(QCI!$A$13:$A$24,OFFSET($E232,-1,0)))),"")</f>
        <v/>
      </c>
      <c r="AE232" s="114" t="b">
        <f t="shared" ca="1" si="94"/>
        <v>0</v>
      </c>
      <c r="AF232" s="159" t="str">
        <f t="shared" ca="1" si="95"/>
        <v>(abra o arquivo 'Referência 05-2023.xls)</v>
      </c>
      <c r="AG232" s="549">
        <f t="shared" ca="1" si="96"/>
        <v>0</v>
      </c>
      <c r="AH232" s="550">
        <f t="shared" ca="1" si="97"/>
        <v>0.25</v>
      </c>
      <c r="AJ232" s="552"/>
      <c r="AL232" s="573"/>
      <c r="AM232" s="430">
        <f t="shared" ca="1" si="98"/>
        <v>0</v>
      </c>
      <c r="AN232" s="616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4</v>
      </c>
      <c r="G233">
        <f t="shared" ca="1" si="80"/>
        <v>0</v>
      </c>
      <c r="H233">
        <f t="shared" ca="1" si="81"/>
        <v>0</v>
      </c>
      <c r="I233">
        <f t="shared" ca="1" si="82"/>
        <v>1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3" t="str">
        <f t="shared" ca="1" si="84"/>
        <v/>
      </c>
      <c r="M233" s="144" t="s">
        <v>198</v>
      </c>
      <c r="N233" s="145" t="str">
        <f t="shared" ca="1" si="85"/>
        <v>Serviço</v>
      </c>
      <c r="O233" s="146" t="str">
        <f t="shared" ca="1" si="86"/>
        <v>-</v>
      </c>
      <c r="P233" s="147" t="s">
        <v>246</v>
      </c>
      <c r="Q233" s="148"/>
      <c r="R233" s="149" t="str">
        <f t="shared" ca="1" si="87"/>
        <v>(abra o arquivo 'Referência 05-2023.xls)</v>
      </c>
      <c r="S233" s="150" t="str">
        <f t="shared" ca="1" si="88"/>
        <v>-</v>
      </c>
      <c r="T233" s="151">
        <f ca="1">OFFSET(CÁLCULO!H$15,ROW($T233)-ROW(T$15),0)</f>
        <v>0</v>
      </c>
      <c r="U233" s="152"/>
      <c r="V233" s="153" t="s">
        <v>155</v>
      </c>
      <c r="W233" s="151">
        <f t="shared" ca="1" si="89"/>
        <v>0</v>
      </c>
      <c r="X233" s="154">
        <f t="shared" ca="1" si="90"/>
        <v>0</v>
      </c>
      <c r="Y233" s="155" t="s">
        <v>244</v>
      </c>
      <c r="Z233" t="str">
        <f t="shared" ca="1" si="91"/>
        <v/>
      </c>
      <c r="AA233" s="156">
        <f ca="1">IF($C233="S",IF($Z233="CP",$X233,IF($Z233="RA",(($X233)*QCI!$AA$3),0)),SomaAgrup)</f>
        <v>0</v>
      </c>
      <c r="AB233" s="157">
        <f t="shared" ca="1" si="92"/>
        <v>0</v>
      </c>
      <c r="AC233" s="158" t="str">
        <f t="shared" ca="1" si="93"/>
        <v/>
      </c>
      <c r="AD233" s="104" t="str">
        <f ca="1">IF(C233&lt;=CRONO.NivelExibicao,MAX($AD$15:OFFSET(AD233,-1,0))+IF($C233&lt;&gt;1,1,MAX(1,COUNTIF(QCI!$A$13:$A$24,OFFSET($E233,-1,0)))),"")</f>
        <v/>
      </c>
      <c r="AE233" s="114" t="b">
        <f t="shared" ca="1" si="94"/>
        <v>0</v>
      </c>
      <c r="AF233" s="159" t="str">
        <f t="shared" ca="1" si="95"/>
        <v>(abra o arquivo 'Referência 05-2023.xls)</v>
      </c>
      <c r="AG233" s="549">
        <f t="shared" ca="1" si="96"/>
        <v>0</v>
      </c>
      <c r="AH233" s="550">
        <f t="shared" ca="1" si="97"/>
        <v>0.25</v>
      </c>
      <c r="AJ233" s="552"/>
      <c r="AL233" s="573"/>
      <c r="AM233" s="430">
        <f t="shared" ca="1" si="98"/>
        <v>0</v>
      </c>
      <c r="AN233" s="616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4</v>
      </c>
      <c r="G234">
        <f t="shared" ca="1" si="80"/>
        <v>0</v>
      </c>
      <c r="H234">
        <f t="shared" ca="1" si="81"/>
        <v>0</v>
      </c>
      <c r="I234">
        <f t="shared" ca="1" si="82"/>
        <v>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3" t="str">
        <f t="shared" ca="1" si="84"/>
        <v/>
      </c>
      <c r="M234" s="144" t="s">
        <v>198</v>
      </c>
      <c r="N234" s="145" t="str">
        <f t="shared" ca="1" si="85"/>
        <v>Serviço</v>
      </c>
      <c r="O234" s="146" t="str">
        <f t="shared" ca="1" si="86"/>
        <v>-</v>
      </c>
      <c r="P234" s="147" t="s">
        <v>246</v>
      </c>
      <c r="Q234" s="148"/>
      <c r="R234" s="149" t="str">
        <f t="shared" ca="1" si="87"/>
        <v>(abra o arquivo 'Referência 05-2023.xls)</v>
      </c>
      <c r="S234" s="150" t="str">
        <f t="shared" ca="1" si="88"/>
        <v>-</v>
      </c>
      <c r="T234" s="151">
        <f ca="1">OFFSET(CÁLCULO!H$15,ROW($T234)-ROW(T$15),0)</f>
        <v>0</v>
      </c>
      <c r="U234" s="152"/>
      <c r="V234" s="153" t="s">
        <v>155</v>
      </c>
      <c r="W234" s="151">
        <f t="shared" ca="1" si="89"/>
        <v>0</v>
      </c>
      <c r="X234" s="154">
        <f t="shared" ca="1" si="90"/>
        <v>0</v>
      </c>
      <c r="Y234" s="155" t="s">
        <v>244</v>
      </c>
      <c r="Z234" t="str">
        <f t="shared" ca="1" si="91"/>
        <v/>
      </c>
      <c r="AA234" s="156">
        <f ca="1">IF($C234="S",IF($Z234="CP",$X234,IF($Z234="RA",(($X234)*QCI!$AA$3),0)),SomaAgrup)</f>
        <v>0</v>
      </c>
      <c r="AB234" s="157">
        <f t="shared" ca="1" si="92"/>
        <v>0</v>
      </c>
      <c r="AC234" s="158" t="str">
        <f t="shared" ca="1" si="93"/>
        <v/>
      </c>
      <c r="AD234" s="104" t="str">
        <f ca="1">IF(C234&lt;=CRONO.NivelExibicao,MAX($AD$15:OFFSET(AD234,-1,0))+IF($C234&lt;&gt;1,1,MAX(1,COUNTIF(QCI!$A$13:$A$24,OFFSET($E234,-1,0)))),"")</f>
        <v/>
      </c>
      <c r="AE234" s="114" t="b">
        <f t="shared" ca="1" si="94"/>
        <v>0</v>
      </c>
      <c r="AF234" s="159" t="str">
        <f t="shared" ca="1" si="95"/>
        <v>(abra o arquivo 'Referência 05-2023.xls)</v>
      </c>
      <c r="AG234" s="549">
        <f t="shared" ca="1" si="96"/>
        <v>0</v>
      </c>
      <c r="AH234" s="550">
        <f t="shared" ca="1" si="97"/>
        <v>0.25</v>
      </c>
      <c r="AJ234" s="552"/>
      <c r="AL234" s="573"/>
      <c r="AM234" s="430">
        <f t="shared" ca="1" si="98"/>
        <v>0</v>
      </c>
      <c r="AN234" s="616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4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3" t="str">
        <f t="shared" ca="1" si="84"/>
        <v/>
      </c>
      <c r="M235" s="144" t="s">
        <v>198</v>
      </c>
      <c r="N235" s="145" t="str">
        <f t="shared" ca="1" si="85"/>
        <v>Serviço</v>
      </c>
      <c r="O235" s="146" t="str">
        <f t="shared" ca="1" si="86"/>
        <v>-</v>
      </c>
      <c r="P235" s="147" t="s">
        <v>246</v>
      </c>
      <c r="Q235" s="148"/>
      <c r="R235" s="149" t="str">
        <f t="shared" ca="1" si="87"/>
        <v>(abra o arquivo 'Referência 05-2023.xls)</v>
      </c>
      <c r="S235" s="150" t="str">
        <f t="shared" ca="1" si="88"/>
        <v>-</v>
      </c>
      <c r="T235" s="151">
        <f ca="1">OFFSET(CÁLCULO!H$15,ROW($T235)-ROW(T$15),0)</f>
        <v>0</v>
      </c>
      <c r="U235" s="152"/>
      <c r="V235" s="153" t="s">
        <v>155</v>
      </c>
      <c r="W235" s="151">
        <f t="shared" ca="1" si="89"/>
        <v>0</v>
      </c>
      <c r="X235" s="154">
        <f t="shared" ca="1" si="90"/>
        <v>0</v>
      </c>
      <c r="Y235" s="155" t="s">
        <v>244</v>
      </c>
      <c r="Z235" t="str">
        <f t="shared" ca="1" si="91"/>
        <v/>
      </c>
      <c r="AA235" s="156">
        <f ca="1">IF($C235="S",IF($Z235="CP",$X235,IF($Z235="RA",(($X235)*QCI!$AA$3),0)),SomaAgrup)</f>
        <v>0</v>
      </c>
      <c r="AB235" s="157">
        <f t="shared" ca="1" si="92"/>
        <v>0</v>
      </c>
      <c r="AC235" s="158" t="str">
        <f t="shared" ca="1" si="93"/>
        <v/>
      </c>
      <c r="AD235" s="104" t="str">
        <f ca="1">IF(C235&lt;=CRONO.NivelExibicao,MAX($AD$15:OFFSET(AD235,-1,0))+IF($C235&lt;&gt;1,1,MAX(1,COUNTIF(QCI!$A$13:$A$24,OFFSET($E235,-1,0)))),"")</f>
        <v/>
      </c>
      <c r="AE235" s="114" t="b">
        <f t="shared" ca="1" si="94"/>
        <v>0</v>
      </c>
      <c r="AF235" s="159" t="str">
        <f t="shared" ca="1" si="95"/>
        <v>(abra o arquivo 'Referência 05-2023.xls)</v>
      </c>
      <c r="AG235" s="549">
        <f t="shared" ca="1" si="96"/>
        <v>0</v>
      </c>
      <c r="AH235" s="550">
        <f t="shared" ca="1" si="97"/>
        <v>0.25</v>
      </c>
      <c r="AJ235" s="552"/>
      <c r="AL235" s="573"/>
      <c r="AM235" s="430">
        <f t="shared" ca="1" si="98"/>
        <v>0</v>
      </c>
      <c r="AN235" s="616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4</v>
      </c>
      <c r="G236">
        <f t="shared" ca="1" si="80"/>
        <v>0</v>
      </c>
      <c r="H236">
        <f t="shared" ca="1" si="81"/>
        <v>0</v>
      </c>
      <c r="I236">
        <f t="shared" ca="1" si="82"/>
        <v>1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3" t="str">
        <f t="shared" ca="1" si="84"/>
        <v/>
      </c>
      <c r="M236" s="144" t="s">
        <v>198</v>
      </c>
      <c r="N236" s="145" t="str">
        <f t="shared" ca="1" si="85"/>
        <v>Serviço</v>
      </c>
      <c r="O236" s="146" t="str">
        <f t="shared" ca="1" si="86"/>
        <v>-</v>
      </c>
      <c r="P236" s="147" t="s">
        <v>246</v>
      </c>
      <c r="Q236" s="148"/>
      <c r="R236" s="149" t="str">
        <f t="shared" ca="1" si="87"/>
        <v>(abra o arquivo 'Referência 05-2023.xls)</v>
      </c>
      <c r="S236" s="150" t="str">
        <f t="shared" ca="1" si="88"/>
        <v>-</v>
      </c>
      <c r="T236" s="151">
        <f ca="1">OFFSET(CÁLCULO!H$15,ROW($T236)-ROW(T$15),0)</f>
        <v>0</v>
      </c>
      <c r="U236" s="152"/>
      <c r="V236" s="153" t="s">
        <v>155</v>
      </c>
      <c r="W236" s="151">
        <f t="shared" ca="1" si="89"/>
        <v>0</v>
      </c>
      <c r="X236" s="154">
        <f t="shared" ca="1" si="90"/>
        <v>0</v>
      </c>
      <c r="Y236" s="155" t="s">
        <v>244</v>
      </c>
      <c r="Z236" t="str">
        <f t="shared" ca="1" si="91"/>
        <v/>
      </c>
      <c r="AA236" s="156">
        <f ca="1">IF($C236="S",IF($Z236="CP",$X236,IF($Z236="RA",(($X236)*QCI!$AA$3),0)),SomaAgrup)</f>
        <v>0</v>
      </c>
      <c r="AB236" s="157">
        <f t="shared" ca="1" si="92"/>
        <v>0</v>
      </c>
      <c r="AC236" s="158" t="str">
        <f t="shared" ca="1" si="93"/>
        <v/>
      </c>
      <c r="AD236" s="104" t="str">
        <f ca="1">IF(C236&lt;=CRONO.NivelExibicao,MAX($AD$15:OFFSET(AD236,-1,0))+IF($C236&lt;&gt;1,1,MAX(1,COUNTIF(QCI!$A$13:$A$24,OFFSET($E236,-1,0)))),"")</f>
        <v/>
      </c>
      <c r="AE236" s="114" t="b">
        <f t="shared" ca="1" si="94"/>
        <v>0</v>
      </c>
      <c r="AF236" s="159" t="str">
        <f t="shared" ca="1" si="95"/>
        <v>(abra o arquivo 'Referência 05-2023.xls)</v>
      </c>
      <c r="AG236" s="549">
        <f t="shared" ca="1" si="96"/>
        <v>0</v>
      </c>
      <c r="AH236" s="550">
        <f t="shared" ca="1" si="97"/>
        <v>0.25</v>
      </c>
      <c r="AJ236" s="552"/>
      <c r="AL236" s="573"/>
      <c r="AM236" s="430">
        <f t="shared" ca="1" si="98"/>
        <v>0</v>
      </c>
      <c r="AN236" s="616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4</v>
      </c>
      <c r="G237">
        <f t="shared" ca="1" si="80"/>
        <v>0</v>
      </c>
      <c r="H237">
        <f t="shared" ca="1" si="81"/>
        <v>0</v>
      </c>
      <c r="I237">
        <f t="shared" ca="1" si="82"/>
        <v>1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3" t="str">
        <f t="shared" ca="1" si="84"/>
        <v/>
      </c>
      <c r="M237" s="144" t="s">
        <v>198</v>
      </c>
      <c r="N237" s="145" t="str">
        <f t="shared" ca="1" si="85"/>
        <v>Serviço</v>
      </c>
      <c r="O237" s="146" t="str">
        <f t="shared" ca="1" si="86"/>
        <v>-</v>
      </c>
      <c r="P237" s="147" t="s">
        <v>246</v>
      </c>
      <c r="Q237" s="148"/>
      <c r="R237" s="149" t="str">
        <f t="shared" ca="1" si="87"/>
        <v>(abra o arquivo 'Referência 05-2023.xls)</v>
      </c>
      <c r="S237" s="150" t="str">
        <f t="shared" ca="1" si="88"/>
        <v>-</v>
      </c>
      <c r="T237" s="151">
        <f ca="1">OFFSET(CÁLCULO!H$15,ROW($T237)-ROW(T$15),0)</f>
        <v>0</v>
      </c>
      <c r="U237" s="152"/>
      <c r="V237" s="153" t="s">
        <v>155</v>
      </c>
      <c r="W237" s="151">
        <f t="shared" ca="1" si="89"/>
        <v>0</v>
      </c>
      <c r="X237" s="154">
        <f t="shared" ca="1" si="90"/>
        <v>0</v>
      </c>
      <c r="Y237" s="155" t="s">
        <v>244</v>
      </c>
      <c r="Z237" t="str">
        <f t="shared" ca="1" si="91"/>
        <v/>
      </c>
      <c r="AA237" s="156">
        <f ca="1">IF($C237="S",IF($Z237="CP",$X237,IF($Z237="RA",(($X237)*QCI!$AA$3),0)),SomaAgrup)</f>
        <v>0</v>
      </c>
      <c r="AB237" s="157">
        <f t="shared" ca="1" si="92"/>
        <v>0</v>
      </c>
      <c r="AC237" s="158" t="str">
        <f t="shared" ca="1" si="93"/>
        <v/>
      </c>
      <c r="AD237" s="104" t="str">
        <f ca="1">IF(C237&lt;=CRONO.NivelExibicao,MAX($AD$15:OFFSET(AD237,-1,0))+IF($C237&lt;&gt;1,1,MAX(1,COUNTIF(QCI!$A$13:$A$24,OFFSET($E237,-1,0)))),"")</f>
        <v/>
      </c>
      <c r="AE237" s="114" t="b">
        <f t="shared" ca="1" si="94"/>
        <v>0</v>
      </c>
      <c r="AF237" s="159" t="str">
        <f t="shared" ca="1" si="95"/>
        <v>(abra o arquivo 'Referência 05-2023.xls)</v>
      </c>
      <c r="AG237" s="549">
        <f t="shared" ca="1" si="96"/>
        <v>0</v>
      </c>
      <c r="AH237" s="550">
        <f t="shared" ca="1" si="97"/>
        <v>0.25</v>
      </c>
      <c r="AJ237" s="552"/>
      <c r="AL237" s="573"/>
      <c r="AM237" s="430">
        <f t="shared" ca="1" si="98"/>
        <v>0</v>
      </c>
      <c r="AN237" s="616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4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3" t="str">
        <f t="shared" ca="1" si="84"/>
        <v/>
      </c>
      <c r="M238" s="144" t="s">
        <v>198</v>
      </c>
      <c r="N238" s="145" t="str">
        <f t="shared" ca="1" si="85"/>
        <v>Serviço</v>
      </c>
      <c r="O238" s="146" t="str">
        <f t="shared" ca="1" si="86"/>
        <v>-</v>
      </c>
      <c r="P238" s="147" t="s">
        <v>246</v>
      </c>
      <c r="Q238" s="148"/>
      <c r="R238" s="149" t="str">
        <f t="shared" ca="1" si="87"/>
        <v>(abra o arquivo 'Referência 05-2023.xls)</v>
      </c>
      <c r="S238" s="150" t="str">
        <f t="shared" ca="1" si="88"/>
        <v>-</v>
      </c>
      <c r="T238" s="151">
        <f ca="1">OFFSET(CÁLCULO!H$15,ROW($T238)-ROW(T$15),0)</f>
        <v>0</v>
      </c>
      <c r="U238" s="152"/>
      <c r="V238" s="153" t="s">
        <v>155</v>
      </c>
      <c r="W238" s="151">
        <f t="shared" ca="1" si="89"/>
        <v>0</v>
      </c>
      <c r="X238" s="154">
        <f t="shared" ca="1" si="90"/>
        <v>0</v>
      </c>
      <c r="Y238" s="155" t="s">
        <v>244</v>
      </c>
      <c r="Z238" t="str">
        <f t="shared" ca="1" si="91"/>
        <v/>
      </c>
      <c r="AA238" s="156">
        <f ca="1">IF($C238="S",IF($Z238="CP",$X238,IF($Z238="RA",(($X238)*QCI!$AA$3),0)),SomaAgrup)</f>
        <v>0</v>
      </c>
      <c r="AB238" s="157">
        <f t="shared" ca="1" si="92"/>
        <v>0</v>
      </c>
      <c r="AC238" s="158" t="str">
        <f t="shared" ca="1" si="93"/>
        <v/>
      </c>
      <c r="AD238" s="104" t="str">
        <f ca="1">IF(C238&lt;=CRONO.NivelExibicao,MAX($AD$15:OFFSET(AD238,-1,0))+IF($C238&lt;&gt;1,1,MAX(1,COUNTIF(QCI!$A$13:$A$24,OFFSET($E238,-1,0)))),"")</f>
        <v/>
      </c>
      <c r="AE238" s="114" t="b">
        <f t="shared" ca="1" si="94"/>
        <v>0</v>
      </c>
      <c r="AF238" s="159" t="str">
        <f t="shared" ca="1" si="95"/>
        <v>(abra o arquivo 'Referência 05-2023.xls)</v>
      </c>
      <c r="AG238" s="549">
        <f t="shared" ca="1" si="96"/>
        <v>0</v>
      </c>
      <c r="AH238" s="550">
        <f t="shared" ca="1" si="97"/>
        <v>0.25</v>
      </c>
      <c r="AJ238" s="552"/>
      <c r="AL238" s="573"/>
      <c r="AM238" s="430">
        <f t="shared" ca="1" si="98"/>
        <v>0</v>
      </c>
      <c r="AN238" s="616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4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3" t="str">
        <f t="shared" ca="1" si="84"/>
        <v/>
      </c>
      <c r="M239" s="144" t="s">
        <v>198</v>
      </c>
      <c r="N239" s="145" t="str">
        <f t="shared" ca="1" si="85"/>
        <v>Serviço</v>
      </c>
      <c r="O239" s="146" t="str">
        <f t="shared" ca="1" si="86"/>
        <v>-</v>
      </c>
      <c r="P239" s="147" t="s">
        <v>246</v>
      </c>
      <c r="Q239" s="148"/>
      <c r="R239" s="149" t="str">
        <f t="shared" ca="1" si="87"/>
        <v>(abra o arquivo 'Referência 05-2023.xls)</v>
      </c>
      <c r="S239" s="150" t="str">
        <f t="shared" ca="1" si="88"/>
        <v>-</v>
      </c>
      <c r="T239" s="151">
        <f ca="1">OFFSET(CÁLCULO!H$15,ROW($T239)-ROW(T$15),0)</f>
        <v>0</v>
      </c>
      <c r="U239" s="152"/>
      <c r="V239" s="153" t="s">
        <v>155</v>
      </c>
      <c r="W239" s="151">
        <f t="shared" ca="1" si="89"/>
        <v>0</v>
      </c>
      <c r="X239" s="154">
        <f t="shared" ca="1" si="90"/>
        <v>0</v>
      </c>
      <c r="Y239" s="155" t="s">
        <v>244</v>
      </c>
      <c r="Z239" t="str">
        <f t="shared" ca="1" si="91"/>
        <v/>
      </c>
      <c r="AA239" s="156">
        <f ca="1">IF($C239="S",IF($Z239="CP",$X239,IF($Z239="RA",(($X239)*QCI!$AA$3),0)),SomaAgrup)</f>
        <v>0</v>
      </c>
      <c r="AB239" s="157">
        <f t="shared" ca="1" si="92"/>
        <v>0</v>
      </c>
      <c r="AC239" s="158" t="str">
        <f t="shared" ca="1" si="93"/>
        <v/>
      </c>
      <c r="AD239" s="104" t="str">
        <f ca="1">IF(C239&lt;=CRONO.NivelExibicao,MAX($AD$15:OFFSET(AD239,-1,0))+IF($C239&lt;&gt;1,1,MAX(1,COUNTIF(QCI!$A$13:$A$24,OFFSET($E239,-1,0)))),"")</f>
        <v/>
      </c>
      <c r="AE239" s="114" t="b">
        <f t="shared" ca="1" si="94"/>
        <v>0</v>
      </c>
      <c r="AF239" s="159" t="str">
        <f t="shared" ca="1" si="95"/>
        <v>(abra o arquivo 'Referência 05-2023.xls)</v>
      </c>
      <c r="AG239" s="549">
        <f t="shared" ca="1" si="96"/>
        <v>0</v>
      </c>
      <c r="AH239" s="550">
        <f t="shared" ca="1" si="97"/>
        <v>0.25</v>
      </c>
      <c r="AJ239" s="552"/>
      <c r="AL239" s="573"/>
      <c r="AM239" s="430">
        <f t="shared" ca="1" si="98"/>
        <v>0</v>
      </c>
      <c r="AN239" s="616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4</v>
      </c>
      <c r="G240">
        <f t="shared" ca="1" si="80"/>
        <v>0</v>
      </c>
      <c r="H240">
        <f t="shared" ca="1" si="81"/>
        <v>0</v>
      </c>
      <c r="I240">
        <f t="shared" ca="1" si="82"/>
        <v>1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3" t="str">
        <f t="shared" ca="1" si="84"/>
        <v/>
      </c>
      <c r="M240" s="144" t="s">
        <v>198</v>
      </c>
      <c r="N240" s="145" t="str">
        <f t="shared" ca="1" si="85"/>
        <v>Serviço</v>
      </c>
      <c r="O240" s="146" t="str">
        <f t="shared" ca="1" si="86"/>
        <v>-</v>
      </c>
      <c r="P240" s="147" t="s">
        <v>246</v>
      </c>
      <c r="Q240" s="148"/>
      <c r="R240" s="149" t="str">
        <f t="shared" ca="1" si="87"/>
        <v>(abra o arquivo 'Referência 05-2023.xls)</v>
      </c>
      <c r="S240" s="150" t="str">
        <f t="shared" ca="1" si="88"/>
        <v>-</v>
      </c>
      <c r="T240" s="151">
        <f ca="1">OFFSET(CÁLCULO!H$15,ROW($T240)-ROW(T$15),0)</f>
        <v>0</v>
      </c>
      <c r="U240" s="152"/>
      <c r="V240" s="153" t="s">
        <v>155</v>
      </c>
      <c r="W240" s="151">
        <f t="shared" ca="1" si="89"/>
        <v>0</v>
      </c>
      <c r="X240" s="154">
        <f t="shared" ca="1" si="90"/>
        <v>0</v>
      </c>
      <c r="Y240" s="155" t="s">
        <v>244</v>
      </c>
      <c r="Z240" t="str">
        <f t="shared" ca="1" si="91"/>
        <v/>
      </c>
      <c r="AA240" s="156">
        <f ca="1">IF($C240="S",IF($Z240="CP",$X240,IF($Z240="RA",(($X240)*QCI!$AA$3),0)),SomaAgrup)</f>
        <v>0</v>
      </c>
      <c r="AB240" s="157">
        <f t="shared" ca="1" si="92"/>
        <v>0</v>
      </c>
      <c r="AC240" s="158" t="str">
        <f t="shared" ca="1" si="93"/>
        <v/>
      </c>
      <c r="AD240" s="104" t="str">
        <f ca="1">IF(C240&lt;=CRONO.NivelExibicao,MAX($AD$15:OFFSET(AD240,-1,0))+IF($C240&lt;&gt;1,1,MAX(1,COUNTIF(QCI!$A$13:$A$24,OFFSET($E240,-1,0)))),"")</f>
        <v/>
      </c>
      <c r="AE240" s="114" t="b">
        <f t="shared" ca="1" si="94"/>
        <v>0</v>
      </c>
      <c r="AF240" s="159" t="str">
        <f t="shared" ca="1" si="95"/>
        <v>(abra o arquivo 'Referência 05-2023.xls)</v>
      </c>
      <c r="AG240" s="549">
        <f t="shared" ca="1" si="96"/>
        <v>0</v>
      </c>
      <c r="AH240" s="550">
        <f t="shared" ca="1" si="97"/>
        <v>0.25</v>
      </c>
      <c r="AJ240" s="552"/>
      <c r="AL240" s="573"/>
      <c r="AM240" s="430">
        <f t="shared" ca="1" si="98"/>
        <v>0</v>
      </c>
      <c r="AN240" s="616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4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3" t="str">
        <f t="shared" ca="1" si="84"/>
        <v/>
      </c>
      <c r="M241" s="144" t="s">
        <v>198</v>
      </c>
      <c r="N241" s="145" t="str">
        <f t="shared" ca="1" si="85"/>
        <v>Serviço</v>
      </c>
      <c r="O241" s="146" t="str">
        <f t="shared" ca="1" si="86"/>
        <v>-</v>
      </c>
      <c r="P241" s="147" t="s">
        <v>246</v>
      </c>
      <c r="Q241" s="148"/>
      <c r="R241" s="149" t="str">
        <f t="shared" ca="1" si="87"/>
        <v>(abra o arquivo 'Referência 05-2023.xls)</v>
      </c>
      <c r="S241" s="150" t="str">
        <f t="shared" ca="1" si="88"/>
        <v>-</v>
      </c>
      <c r="T241" s="151">
        <f ca="1">OFFSET(CÁLCULO!H$15,ROW($T241)-ROW(T$15),0)</f>
        <v>0</v>
      </c>
      <c r="U241" s="152"/>
      <c r="V241" s="153" t="s">
        <v>155</v>
      </c>
      <c r="W241" s="151">
        <f t="shared" ca="1" si="89"/>
        <v>0</v>
      </c>
      <c r="X241" s="154">
        <f t="shared" ca="1" si="90"/>
        <v>0</v>
      </c>
      <c r="Y241" s="155" t="s">
        <v>244</v>
      </c>
      <c r="Z241" t="str">
        <f t="shared" ca="1" si="91"/>
        <v/>
      </c>
      <c r="AA241" s="156">
        <f ca="1">IF($C241="S",IF($Z241="CP",$X241,IF($Z241="RA",(($X241)*QCI!$AA$3),0)),SomaAgrup)</f>
        <v>0</v>
      </c>
      <c r="AB241" s="157">
        <f t="shared" ca="1" si="92"/>
        <v>0</v>
      </c>
      <c r="AC241" s="158" t="str">
        <f t="shared" ca="1" si="93"/>
        <v/>
      </c>
      <c r="AD241" s="104" t="str">
        <f ca="1">IF(C241&lt;=CRONO.NivelExibicao,MAX($AD$15:OFFSET(AD241,-1,0))+IF($C241&lt;&gt;1,1,MAX(1,COUNTIF(QCI!$A$13:$A$24,OFFSET($E241,-1,0)))),"")</f>
        <v/>
      </c>
      <c r="AE241" s="114" t="b">
        <f t="shared" ca="1" si="94"/>
        <v>0</v>
      </c>
      <c r="AF241" s="159" t="str">
        <f t="shared" ca="1" si="95"/>
        <v>(abra o arquivo 'Referência 05-2023.xls)</v>
      </c>
      <c r="AG241" s="549">
        <f t="shared" ca="1" si="96"/>
        <v>0</v>
      </c>
      <c r="AH241" s="550">
        <f t="shared" ca="1" si="97"/>
        <v>0.25</v>
      </c>
      <c r="AJ241" s="552"/>
      <c r="AL241" s="573"/>
      <c r="AM241" s="430">
        <f t="shared" ca="1" si="98"/>
        <v>0</v>
      </c>
      <c r="AN241" s="616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4</v>
      </c>
      <c r="G242">
        <f t="shared" ca="1" si="80"/>
        <v>0</v>
      </c>
      <c r="H242">
        <f t="shared" ca="1" si="81"/>
        <v>0</v>
      </c>
      <c r="I242">
        <f t="shared" ca="1" si="82"/>
        <v>1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3" t="str">
        <f t="shared" ca="1" si="84"/>
        <v/>
      </c>
      <c r="M242" s="144" t="s">
        <v>198</v>
      </c>
      <c r="N242" s="145" t="str">
        <f t="shared" ca="1" si="85"/>
        <v>Serviço</v>
      </c>
      <c r="O242" s="146" t="str">
        <f t="shared" ca="1" si="86"/>
        <v>-</v>
      </c>
      <c r="P242" s="147" t="s">
        <v>246</v>
      </c>
      <c r="Q242" s="148"/>
      <c r="R242" s="149" t="str">
        <f t="shared" ca="1" si="87"/>
        <v>(abra o arquivo 'Referência 05-2023.xls)</v>
      </c>
      <c r="S242" s="150" t="str">
        <f t="shared" ca="1" si="88"/>
        <v>-</v>
      </c>
      <c r="T242" s="151">
        <f ca="1">OFFSET(CÁLCULO!H$15,ROW($T242)-ROW(T$15),0)</f>
        <v>0</v>
      </c>
      <c r="U242" s="152"/>
      <c r="V242" s="153" t="s">
        <v>155</v>
      </c>
      <c r="W242" s="151">
        <f t="shared" ca="1" si="89"/>
        <v>0</v>
      </c>
      <c r="X242" s="154">
        <f t="shared" ca="1" si="90"/>
        <v>0</v>
      </c>
      <c r="Y242" s="155" t="s">
        <v>244</v>
      </c>
      <c r="Z242" t="str">
        <f t="shared" ca="1" si="91"/>
        <v/>
      </c>
      <c r="AA242" s="156">
        <f ca="1">IF($C242="S",IF($Z242="CP",$X242,IF($Z242="RA",(($X242)*QCI!$AA$3),0)),SomaAgrup)</f>
        <v>0</v>
      </c>
      <c r="AB242" s="157">
        <f t="shared" ca="1" si="92"/>
        <v>0</v>
      </c>
      <c r="AC242" s="158" t="str">
        <f t="shared" ca="1" si="93"/>
        <v/>
      </c>
      <c r="AD242" s="104" t="str">
        <f ca="1">IF(C242&lt;=CRONO.NivelExibicao,MAX($AD$15:OFFSET(AD242,-1,0))+IF($C242&lt;&gt;1,1,MAX(1,COUNTIF(QCI!$A$13:$A$24,OFFSET($E242,-1,0)))),"")</f>
        <v/>
      </c>
      <c r="AE242" s="114" t="b">
        <f t="shared" ca="1" si="94"/>
        <v>0</v>
      </c>
      <c r="AF242" s="159" t="str">
        <f t="shared" ca="1" si="95"/>
        <v>(abra o arquivo 'Referência 05-2023.xls)</v>
      </c>
      <c r="AG242" s="549">
        <f t="shared" ca="1" si="96"/>
        <v>0</v>
      </c>
      <c r="AH242" s="550">
        <f t="shared" ca="1" si="97"/>
        <v>0.25</v>
      </c>
      <c r="AJ242" s="552"/>
      <c r="AL242" s="573"/>
      <c r="AM242" s="430">
        <f t="shared" ca="1" si="98"/>
        <v>0</v>
      </c>
      <c r="AN242" s="616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4</v>
      </c>
      <c r="G243">
        <f t="shared" ca="1" si="80"/>
        <v>0</v>
      </c>
      <c r="H243">
        <f t="shared" ca="1" si="81"/>
        <v>0</v>
      </c>
      <c r="I243">
        <f t="shared" ca="1" si="82"/>
        <v>1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3" t="str">
        <f t="shared" ca="1" si="84"/>
        <v/>
      </c>
      <c r="M243" s="144" t="s">
        <v>198</v>
      </c>
      <c r="N243" s="145" t="str">
        <f t="shared" ca="1" si="85"/>
        <v>Serviço</v>
      </c>
      <c r="O243" s="146" t="str">
        <f t="shared" ca="1" si="86"/>
        <v>-</v>
      </c>
      <c r="P243" s="147" t="s">
        <v>246</v>
      </c>
      <c r="Q243" s="148"/>
      <c r="R243" s="149" t="str">
        <f t="shared" ca="1" si="87"/>
        <v>(abra o arquivo 'Referência 05-2023.xls)</v>
      </c>
      <c r="S243" s="150" t="str">
        <f t="shared" ca="1" si="88"/>
        <v>-</v>
      </c>
      <c r="T243" s="151">
        <f ca="1">OFFSET(CÁLCULO!H$15,ROW($T243)-ROW(T$15),0)</f>
        <v>0</v>
      </c>
      <c r="U243" s="152"/>
      <c r="V243" s="153" t="s">
        <v>155</v>
      </c>
      <c r="W243" s="151">
        <f t="shared" ca="1" si="89"/>
        <v>0</v>
      </c>
      <c r="X243" s="154">
        <f t="shared" ca="1" si="90"/>
        <v>0</v>
      </c>
      <c r="Y243" s="155" t="s">
        <v>244</v>
      </c>
      <c r="Z243" t="str">
        <f t="shared" ca="1" si="91"/>
        <v/>
      </c>
      <c r="AA243" s="156">
        <f ca="1">IF($C243="S",IF($Z243="CP",$X243,IF($Z243="RA",(($X243)*QCI!$AA$3),0)),SomaAgrup)</f>
        <v>0</v>
      </c>
      <c r="AB243" s="157">
        <f t="shared" ca="1" si="92"/>
        <v>0</v>
      </c>
      <c r="AC243" s="158" t="str">
        <f t="shared" ca="1" si="93"/>
        <v/>
      </c>
      <c r="AD243" s="104" t="str">
        <f ca="1">IF(C243&lt;=CRONO.NivelExibicao,MAX($AD$15:OFFSET(AD243,-1,0))+IF($C243&lt;&gt;1,1,MAX(1,COUNTIF(QCI!$A$13:$A$24,OFFSET($E243,-1,0)))),"")</f>
        <v/>
      </c>
      <c r="AE243" s="114" t="b">
        <f t="shared" ca="1" si="94"/>
        <v>0</v>
      </c>
      <c r="AF243" s="159" t="str">
        <f t="shared" ca="1" si="95"/>
        <v>(abra o arquivo 'Referência 05-2023.xls)</v>
      </c>
      <c r="AG243" s="549">
        <f t="shared" ca="1" si="96"/>
        <v>0</v>
      </c>
      <c r="AH243" s="550">
        <f t="shared" ca="1" si="97"/>
        <v>0.25</v>
      </c>
      <c r="AJ243" s="552"/>
      <c r="AL243" s="573"/>
      <c r="AM243" s="430">
        <f t="shared" ca="1" si="98"/>
        <v>0</v>
      </c>
      <c r="AN243" s="616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4</v>
      </c>
      <c r="G244">
        <f t="shared" ca="1" si="80"/>
        <v>0</v>
      </c>
      <c r="H244">
        <f t="shared" ca="1" si="81"/>
        <v>0</v>
      </c>
      <c r="I244">
        <f t="shared" ca="1" si="82"/>
        <v>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3" t="str">
        <f t="shared" ca="1" si="84"/>
        <v/>
      </c>
      <c r="M244" s="144" t="s">
        <v>198</v>
      </c>
      <c r="N244" s="145" t="str">
        <f t="shared" ca="1" si="85"/>
        <v>Serviço</v>
      </c>
      <c r="O244" s="146" t="str">
        <f t="shared" ca="1" si="86"/>
        <v>-</v>
      </c>
      <c r="P244" s="147" t="s">
        <v>246</v>
      </c>
      <c r="Q244" s="148"/>
      <c r="R244" s="149" t="str">
        <f t="shared" ca="1" si="87"/>
        <v>(abra o arquivo 'Referência 05-2023.xls)</v>
      </c>
      <c r="S244" s="150" t="str">
        <f t="shared" ca="1" si="88"/>
        <v>-</v>
      </c>
      <c r="T244" s="151">
        <f ca="1">OFFSET(CÁLCULO!H$15,ROW($T244)-ROW(T$15),0)</f>
        <v>0</v>
      </c>
      <c r="U244" s="152"/>
      <c r="V244" s="153" t="s">
        <v>155</v>
      </c>
      <c r="W244" s="151">
        <f t="shared" ca="1" si="89"/>
        <v>0</v>
      </c>
      <c r="X244" s="154">
        <f t="shared" ca="1" si="90"/>
        <v>0</v>
      </c>
      <c r="Y244" s="155" t="s">
        <v>244</v>
      </c>
      <c r="Z244" t="str">
        <f t="shared" ca="1" si="91"/>
        <v/>
      </c>
      <c r="AA244" s="156">
        <f ca="1">IF($C244="S",IF($Z244="CP",$X244,IF($Z244="RA",(($X244)*QCI!$AA$3),0)),SomaAgrup)</f>
        <v>0</v>
      </c>
      <c r="AB244" s="157">
        <f t="shared" ca="1" si="92"/>
        <v>0</v>
      </c>
      <c r="AC244" s="158" t="str">
        <f t="shared" ca="1" si="93"/>
        <v/>
      </c>
      <c r="AD244" s="104" t="str">
        <f ca="1">IF(C244&lt;=CRONO.NivelExibicao,MAX($AD$15:OFFSET(AD244,-1,0))+IF($C244&lt;&gt;1,1,MAX(1,COUNTIF(QCI!$A$13:$A$24,OFFSET($E244,-1,0)))),"")</f>
        <v/>
      </c>
      <c r="AE244" s="114" t="b">
        <f t="shared" ca="1" si="94"/>
        <v>0</v>
      </c>
      <c r="AF244" s="159" t="str">
        <f t="shared" ca="1" si="95"/>
        <v>(abra o arquivo 'Referência 05-2023.xls)</v>
      </c>
      <c r="AG244" s="549">
        <f t="shared" ca="1" si="96"/>
        <v>0</v>
      </c>
      <c r="AH244" s="550">
        <f t="shared" ca="1" si="97"/>
        <v>0.25</v>
      </c>
      <c r="AJ244" s="552"/>
      <c r="AL244" s="573"/>
      <c r="AM244" s="430">
        <f t="shared" ca="1" si="98"/>
        <v>0</v>
      </c>
      <c r="AN244" s="616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4</v>
      </c>
      <c r="G245">
        <f t="shared" ca="1" si="80"/>
        <v>0</v>
      </c>
      <c r="H245">
        <f t="shared" ca="1" si="81"/>
        <v>0</v>
      </c>
      <c r="I245">
        <f t="shared" ca="1" si="82"/>
        <v>1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3" t="str">
        <f t="shared" ca="1" si="84"/>
        <v/>
      </c>
      <c r="M245" s="144" t="s">
        <v>198</v>
      </c>
      <c r="N245" s="145" t="str">
        <f t="shared" ca="1" si="85"/>
        <v>Serviço</v>
      </c>
      <c r="O245" s="146" t="str">
        <f t="shared" ca="1" si="86"/>
        <v>-</v>
      </c>
      <c r="P245" s="147" t="s">
        <v>246</v>
      </c>
      <c r="Q245" s="148"/>
      <c r="R245" s="149" t="str">
        <f t="shared" ca="1" si="87"/>
        <v>(abra o arquivo 'Referência 05-2023.xls)</v>
      </c>
      <c r="S245" s="150" t="str">
        <f t="shared" ca="1" si="88"/>
        <v>-</v>
      </c>
      <c r="T245" s="151">
        <f ca="1">OFFSET(CÁLCULO!H$15,ROW($T245)-ROW(T$15),0)</f>
        <v>0</v>
      </c>
      <c r="U245" s="152"/>
      <c r="V245" s="153" t="s">
        <v>155</v>
      </c>
      <c r="W245" s="151">
        <f t="shared" ca="1" si="89"/>
        <v>0</v>
      </c>
      <c r="X245" s="154">
        <f t="shared" ca="1" si="90"/>
        <v>0</v>
      </c>
      <c r="Y245" s="155" t="s">
        <v>244</v>
      </c>
      <c r="Z245" t="str">
        <f t="shared" ca="1" si="91"/>
        <v/>
      </c>
      <c r="AA245" s="156">
        <f ca="1">IF($C245="S",IF($Z245="CP",$X245,IF($Z245="RA",(($X245)*QCI!$AA$3),0)),SomaAgrup)</f>
        <v>0</v>
      </c>
      <c r="AB245" s="157">
        <f t="shared" ca="1" si="92"/>
        <v>0</v>
      </c>
      <c r="AC245" s="158" t="str">
        <f t="shared" ca="1" si="93"/>
        <v/>
      </c>
      <c r="AD245" s="104" t="str">
        <f ca="1">IF(C245&lt;=CRONO.NivelExibicao,MAX($AD$15:OFFSET(AD245,-1,0))+IF($C245&lt;&gt;1,1,MAX(1,COUNTIF(QCI!$A$13:$A$24,OFFSET($E245,-1,0)))),"")</f>
        <v/>
      </c>
      <c r="AE245" s="114" t="b">
        <f t="shared" ca="1" si="94"/>
        <v>0</v>
      </c>
      <c r="AF245" s="159" t="str">
        <f t="shared" ca="1" si="95"/>
        <v>(abra o arquivo 'Referência 05-2023.xls)</v>
      </c>
      <c r="AG245" s="549">
        <f t="shared" ca="1" si="96"/>
        <v>0</v>
      </c>
      <c r="AH245" s="550">
        <f t="shared" ca="1" si="97"/>
        <v>0.25</v>
      </c>
      <c r="AJ245" s="552"/>
      <c r="AL245" s="573"/>
      <c r="AM245" s="430">
        <f t="shared" ca="1" si="98"/>
        <v>0</v>
      </c>
      <c r="AN245" s="616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4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3" t="str">
        <f t="shared" ca="1" si="84"/>
        <v/>
      </c>
      <c r="M246" s="144" t="s">
        <v>198</v>
      </c>
      <c r="N246" s="145" t="str">
        <f t="shared" ca="1" si="85"/>
        <v>Serviço</v>
      </c>
      <c r="O246" s="146" t="str">
        <f t="shared" ca="1" si="86"/>
        <v>-</v>
      </c>
      <c r="P246" s="147" t="s">
        <v>246</v>
      </c>
      <c r="Q246" s="148"/>
      <c r="R246" s="149" t="str">
        <f t="shared" ca="1" si="87"/>
        <v>(abra o arquivo 'Referência 05-2023.xls)</v>
      </c>
      <c r="S246" s="150" t="str">
        <f t="shared" ca="1" si="88"/>
        <v>-</v>
      </c>
      <c r="T246" s="151">
        <f ca="1">OFFSET(CÁLCULO!H$15,ROW($T246)-ROW(T$15),0)</f>
        <v>0</v>
      </c>
      <c r="U246" s="152"/>
      <c r="V246" s="153" t="s">
        <v>155</v>
      </c>
      <c r="W246" s="151">
        <f t="shared" ca="1" si="89"/>
        <v>0</v>
      </c>
      <c r="X246" s="154">
        <f t="shared" ca="1" si="90"/>
        <v>0</v>
      </c>
      <c r="Y246" s="155" t="s">
        <v>244</v>
      </c>
      <c r="Z246" t="str">
        <f t="shared" ca="1" si="91"/>
        <v/>
      </c>
      <c r="AA246" s="156">
        <f ca="1">IF($C246="S",IF($Z246="CP",$X246,IF($Z246="RA",(($X246)*QCI!$AA$3),0)),SomaAgrup)</f>
        <v>0</v>
      </c>
      <c r="AB246" s="157">
        <f t="shared" ca="1" si="92"/>
        <v>0</v>
      </c>
      <c r="AC246" s="158" t="str">
        <f t="shared" ca="1" si="93"/>
        <v/>
      </c>
      <c r="AD246" s="104" t="str">
        <f ca="1">IF(C246&lt;=CRONO.NivelExibicao,MAX($AD$15:OFFSET(AD246,-1,0))+IF($C246&lt;&gt;1,1,MAX(1,COUNTIF(QCI!$A$13:$A$24,OFFSET($E246,-1,0)))),"")</f>
        <v/>
      </c>
      <c r="AE246" s="114" t="b">
        <f t="shared" ca="1" si="94"/>
        <v>0</v>
      </c>
      <c r="AF246" s="159" t="str">
        <f t="shared" ca="1" si="95"/>
        <v>(abra o arquivo 'Referência 05-2023.xls)</v>
      </c>
      <c r="AG246" s="549">
        <f t="shared" ca="1" si="96"/>
        <v>0</v>
      </c>
      <c r="AH246" s="550">
        <f t="shared" ca="1" si="97"/>
        <v>0.25</v>
      </c>
      <c r="AJ246" s="552"/>
      <c r="AL246" s="573"/>
      <c r="AM246" s="430">
        <f t="shared" ca="1" si="98"/>
        <v>0</v>
      </c>
      <c r="AN246" s="616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</v>
      </c>
      <c r="F247">
        <f t="shared" ca="1" si="79"/>
        <v>4</v>
      </c>
      <c r="G247">
        <f t="shared" ca="1" si="80"/>
        <v>0</v>
      </c>
      <c r="H247">
        <f t="shared" ca="1" si="81"/>
        <v>0</v>
      </c>
      <c r="I247">
        <f t="shared" ca="1" si="82"/>
        <v>1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3" t="str">
        <f t="shared" ca="1" si="84"/>
        <v/>
      </c>
      <c r="M247" s="144" t="s">
        <v>198</v>
      </c>
      <c r="N247" s="145" t="str">
        <f t="shared" ca="1" si="85"/>
        <v>Serviço</v>
      </c>
      <c r="O247" s="146" t="str">
        <f t="shared" ca="1" si="86"/>
        <v>-</v>
      </c>
      <c r="P247" s="147" t="s">
        <v>246</v>
      </c>
      <c r="Q247" s="148"/>
      <c r="R247" s="149" t="str">
        <f t="shared" ca="1" si="87"/>
        <v>(abra o arquivo 'Referência 05-2023.xls)</v>
      </c>
      <c r="S247" s="150" t="str">
        <f t="shared" ca="1" si="88"/>
        <v>-</v>
      </c>
      <c r="T247" s="151">
        <f ca="1">OFFSET(CÁLCULO!H$15,ROW($T247)-ROW(T$15),0)</f>
        <v>0</v>
      </c>
      <c r="U247" s="152"/>
      <c r="V247" s="153" t="s">
        <v>155</v>
      </c>
      <c r="W247" s="151">
        <f t="shared" ca="1" si="89"/>
        <v>0</v>
      </c>
      <c r="X247" s="154">
        <f t="shared" ca="1" si="90"/>
        <v>0</v>
      </c>
      <c r="Y247" s="155" t="s">
        <v>244</v>
      </c>
      <c r="Z247" t="str">
        <f t="shared" ca="1" si="91"/>
        <v/>
      </c>
      <c r="AA247" s="156">
        <f ca="1">IF($C247="S",IF($Z247="CP",$X247,IF($Z247="RA",(($X247)*QCI!$AA$3),0)),SomaAgrup)</f>
        <v>0</v>
      </c>
      <c r="AB247" s="157">
        <f t="shared" ca="1" si="92"/>
        <v>0</v>
      </c>
      <c r="AC247" s="158" t="str">
        <f t="shared" ca="1" si="93"/>
        <v/>
      </c>
      <c r="AD247" s="104" t="str">
        <f ca="1">IF(C247&lt;=CRONO.NivelExibicao,MAX($AD$15:OFFSET(AD247,-1,0))+IF($C247&lt;&gt;1,1,MAX(1,COUNTIF(QCI!$A$13:$A$24,OFFSET($E247,-1,0)))),"")</f>
        <v/>
      </c>
      <c r="AE247" s="114" t="b">
        <f t="shared" ca="1" si="94"/>
        <v>0</v>
      </c>
      <c r="AF247" s="159" t="str">
        <f t="shared" ca="1" si="95"/>
        <v>(abra o arquivo 'Referência 05-2023.xls)</v>
      </c>
      <c r="AG247" s="549">
        <f t="shared" ca="1" si="96"/>
        <v>0</v>
      </c>
      <c r="AH247" s="550">
        <f t="shared" ca="1" si="97"/>
        <v>0.25</v>
      </c>
      <c r="AJ247" s="552"/>
      <c r="AL247" s="573"/>
      <c r="AM247" s="430">
        <f t="shared" ca="1" si="98"/>
        <v>0</v>
      </c>
      <c r="AN247" s="616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4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3" t="str">
        <f t="shared" ca="1" si="84"/>
        <v/>
      </c>
      <c r="M248" s="144" t="s">
        <v>198</v>
      </c>
      <c r="N248" s="145" t="str">
        <f t="shared" ca="1" si="85"/>
        <v>Serviço</v>
      </c>
      <c r="O248" s="146" t="str">
        <f t="shared" ca="1" si="86"/>
        <v>-</v>
      </c>
      <c r="P248" s="147" t="s">
        <v>246</v>
      </c>
      <c r="Q248" s="148"/>
      <c r="R248" s="149" t="str">
        <f t="shared" ca="1" si="87"/>
        <v>(abra o arquivo 'Referência 05-2023.xls)</v>
      </c>
      <c r="S248" s="150" t="str">
        <f t="shared" ca="1" si="88"/>
        <v>-</v>
      </c>
      <c r="T248" s="151">
        <f ca="1">OFFSET(CÁLCULO!H$15,ROW($T248)-ROW(T$15),0)</f>
        <v>0</v>
      </c>
      <c r="U248" s="152"/>
      <c r="V248" s="153" t="s">
        <v>155</v>
      </c>
      <c r="W248" s="151">
        <f t="shared" ca="1" si="89"/>
        <v>0</v>
      </c>
      <c r="X248" s="154">
        <f t="shared" ca="1" si="90"/>
        <v>0</v>
      </c>
      <c r="Y248" s="155" t="s">
        <v>244</v>
      </c>
      <c r="Z248" t="str">
        <f t="shared" ca="1" si="91"/>
        <v/>
      </c>
      <c r="AA248" s="156">
        <f ca="1">IF($C248="S",IF($Z248="CP",$X248,IF($Z248="RA",(($X248)*QCI!$AA$3),0)),SomaAgrup)</f>
        <v>0</v>
      </c>
      <c r="AB248" s="157">
        <f t="shared" ca="1" si="92"/>
        <v>0</v>
      </c>
      <c r="AC248" s="158" t="str">
        <f t="shared" ca="1" si="93"/>
        <v/>
      </c>
      <c r="AD248" s="104" t="str">
        <f ca="1">IF(C248&lt;=CRONO.NivelExibicao,MAX($AD$15:OFFSET(AD248,-1,0))+IF($C248&lt;&gt;1,1,MAX(1,COUNTIF(QCI!$A$13:$A$24,OFFSET($E248,-1,0)))),"")</f>
        <v/>
      </c>
      <c r="AE248" s="114" t="b">
        <f t="shared" ca="1" si="94"/>
        <v>0</v>
      </c>
      <c r="AF248" s="159" t="str">
        <f t="shared" ca="1" si="95"/>
        <v>(abra o arquivo 'Referência 05-2023.xls)</v>
      </c>
      <c r="AG248" s="549">
        <f t="shared" ca="1" si="96"/>
        <v>0</v>
      </c>
      <c r="AH248" s="550">
        <f t="shared" ca="1" si="97"/>
        <v>0.25</v>
      </c>
      <c r="AJ248" s="552"/>
      <c r="AL248" s="573"/>
      <c r="AM248" s="430">
        <f t="shared" ca="1" si="98"/>
        <v>0</v>
      </c>
      <c r="AN248" s="616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4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3" t="str">
        <f t="shared" ca="1" si="84"/>
        <v/>
      </c>
      <c r="M249" s="144" t="s">
        <v>198</v>
      </c>
      <c r="N249" s="145" t="str">
        <f t="shared" ca="1" si="85"/>
        <v>Serviço</v>
      </c>
      <c r="O249" s="146" t="str">
        <f t="shared" ca="1" si="86"/>
        <v>-</v>
      </c>
      <c r="P249" s="147" t="s">
        <v>246</v>
      </c>
      <c r="Q249" s="148"/>
      <c r="R249" s="149" t="str">
        <f t="shared" ca="1" si="87"/>
        <v>(abra o arquivo 'Referência 05-2023.xls)</v>
      </c>
      <c r="S249" s="150" t="str">
        <f t="shared" ca="1" si="88"/>
        <v>-</v>
      </c>
      <c r="T249" s="151">
        <f ca="1">OFFSET(CÁLCULO!H$15,ROW($T249)-ROW(T$15),0)</f>
        <v>0</v>
      </c>
      <c r="U249" s="152"/>
      <c r="V249" s="153" t="s">
        <v>155</v>
      </c>
      <c r="W249" s="151">
        <f t="shared" ca="1" si="89"/>
        <v>0</v>
      </c>
      <c r="X249" s="154">
        <f t="shared" ca="1" si="90"/>
        <v>0</v>
      </c>
      <c r="Y249" s="155" t="s">
        <v>244</v>
      </c>
      <c r="Z249" t="str">
        <f t="shared" ca="1" si="91"/>
        <v/>
      </c>
      <c r="AA249" s="156">
        <f ca="1">IF($C249="S",IF($Z249="CP",$X249,IF($Z249="RA",(($X249)*QCI!$AA$3),0)),SomaAgrup)</f>
        <v>0</v>
      </c>
      <c r="AB249" s="157">
        <f t="shared" ca="1" si="92"/>
        <v>0</v>
      </c>
      <c r="AC249" s="158" t="str">
        <f t="shared" ca="1" si="93"/>
        <v/>
      </c>
      <c r="AD249" s="104" t="str">
        <f ca="1">IF(C249&lt;=CRONO.NivelExibicao,MAX($AD$15:OFFSET(AD249,-1,0))+IF($C249&lt;&gt;1,1,MAX(1,COUNTIF(QCI!$A$13:$A$24,OFFSET($E249,-1,0)))),"")</f>
        <v/>
      </c>
      <c r="AE249" s="114" t="b">
        <f t="shared" ca="1" si="94"/>
        <v>0</v>
      </c>
      <c r="AF249" s="159" t="str">
        <f t="shared" ca="1" si="95"/>
        <v>(abra o arquivo 'Referência 05-2023.xls)</v>
      </c>
      <c r="AG249" s="549">
        <f t="shared" ca="1" si="96"/>
        <v>0</v>
      </c>
      <c r="AH249" s="550">
        <f t="shared" ca="1" si="97"/>
        <v>0.25</v>
      </c>
      <c r="AJ249" s="552"/>
      <c r="AL249" s="573"/>
      <c r="AM249" s="430">
        <f t="shared" ca="1" si="98"/>
        <v>0</v>
      </c>
      <c r="AN249" s="616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4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3" t="str">
        <f t="shared" ca="1" si="84"/>
        <v/>
      </c>
      <c r="M250" s="144" t="s">
        <v>198</v>
      </c>
      <c r="N250" s="145" t="str">
        <f t="shared" ca="1" si="85"/>
        <v>Serviço</v>
      </c>
      <c r="O250" s="146" t="str">
        <f t="shared" ca="1" si="86"/>
        <v>-</v>
      </c>
      <c r="P250" s="147" t="s">
        <v>246</v>
      </c>
      <c r="Q250" s="148"/>
      <c r="R250" s="149" t="str">
        <f t="shared" ca="1" si="87"/>
        <v>(abra o arquivo 'Referência 05-2023.xls)</v>
      </c>
      <c r="S250" s="150" t="str">
        <f t="shared" ca="1" si="88"/>
        <v>-</v>
      </c>
      <c r="T250" s="151">
        <f ca="1">OFFSET(CÁLCULO!H$15,ROW($T250)-ROW(T$15),0)</f>
        <v>0</v>
      </c>
      <c r="U250" s="152"/>
      <c r="V250" s="153" t="s">
        <v>155</v>
      </c>
      <c r="W250" s="151">
        <f t="shared" ca="1" si="89"/>
        <v>0</v>
      </c>
      <c r="X250" s="154">
        <f t="shared" ca="1" si="90"/>
        <v>0</v>
      </c>
      <c r="Y250" s="155" t="s">
        <v>244</v>
      </c>
      <c r="Z250" t="str">
        <f t="shared" ca="1" si="91"/>
        <v/>
      </c>
      <c r="AA250" s="156">
        <f ca="1">IF($C250="S",IF($Z250="CP",$X250,IF($Z250="RA",(($X250)*QCI!$AA$3),0)),SomaAgrup)</f>
        <v>0</v>
      </c>
      <c r="AB250" s="157">
        <f t="shared" ca="1" si="92"/>
        <v>0</v>
      </c>
      <c r="AC250" s="158" t="str">
        <f t="shared" ca="1" si="93"/>
        <v/>
      </c>
      <c r="AD250" s="104" t="str">
        <f ca="1">IF(C250&lt;=CRONO.NivelExibicao,MAX($AD$15:OFFSET(AD250,-1,0))+IF($C250&lt;&gt;1,1,MAX(1,COUNTIF(QCI!$A$13:$A$24,OFFSET($E250,-1,0)))),"")</f>
        <v/>
      </c>
      <c r="AE250" s="114" t="b">
        <f t="shared" ca="1" si="94"/>
        <v>0</v>
      </c>
      <c r="AF250" s="159" t="str">
        <f t="shared" ca="1" si="95"/>
        <v>(abra o arquivo 'Referência 05-2023.xls)</v>
      </c>
      <c r="AG250" s="549">
        <f t="shared" ca="1" si="96"/>
        <v>0</v>
      </c>
      <c r="AH250" s="550">
        <f t="shared" ca="1" si="97"/>
        <v>0.25</v>
      </c>
      <c r="AJ250" s="552"/>
      <c r="AL250" s="573"/>
      <c r="AM250" s="430">
        <f t="shared" ca="1" si="98"/>
        <v>0</v>
      </c>
      <c r="AN250" s="616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4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3" t="str">
        <f t="shared" ca="1" si="84"/>
        <v/>
      </c>
      <c r="M251" s="144" t="s">
        <v>198</v>
      </c>
      <c r="N251" s="145" t="str">
        <f t="shared" ca="1" si="85"/>
        <v>Serviço</v>
      </c>
      <c r="O251" s="146" t="str">
        <f t="shared" ca="1" si="86"/>
        <v>-</v>
      </c>
      <c r="P251" s="147" t="s">
        <v>246</v>
      </c>
      <c r="Q251" s="148"/>
      <c r="R251" s="149" t="str">
        <f t="shared" ca="1" si="87"/>
        <v>(abra o arquivo 'Referência 05-2023.xls)</v>
      </c>
      <c r="S251" s="150" t="str">
        <f t="shared" ca="1" si="88"/>
        <v>-</v>
      </c>
      <c r="T251" s="151">
        <f ca="1">OFFSET(CÁLCULO!H$15,ROW($T251)-ROW(T$15),0)</f>
        <v>0</v>
      </c>
      <c r="U251" s="152"/>
      <c r="V251" s="153" t="s">
        <v>155</v>
      </c>
      <c r="W251" s="151">
        <f t="shared" ca="1" si="89"/>
        <v>0</v>
      </c>
      <c r="X251" s="154">
        <f t="shared" ca="1" si="90"/>
        <v>0</v>
      </c>
      <c r="Y251" s="155" t="s">
        <v>244</v>
      </c>
      <c r="Z251" t="str">
        <f t="shared" ca="1" si="91"/>
        <v/>
      </c>
      <c r="AA251" s="156">
        <f ca="1">IF($C251="S",IF($Z251="CP",$X251,IF($Z251="RA",(($X251)*QCI!$AA$3),0)),SomaAgrup)</f>
        <v>0</v>
      </c>
      <c r="AB251" s="157">
        <f t="shared" ca="1" si="92"/>
        <v>0</v>
      </c>
      <c r="AC251" s="158" t="str">
        <f t="shared" ca="1" si="93"/>
        <v/>
      </c>
      <c r="AD251" s="104" t="str">
        <f ca="1">IF(C251&lt;=CRONO.NivelExibicao,MAX($AD$15:OFFSET(AD251,-1,0))+IF($C251&lt;&gt;1,1,MAX(1,COUNTIF(QCI!$A$13:$A$24,OFFSET($E251,-1,0)))),"")</f>
        <v/>
      </c>
      <c r="AE251" s="114" t="b">
        <f t="shared" ca="1" si="94"/>
        <v>0</v>
      </c>
      <c r="AF251" s="159" t="str">
        <f t="shared" ca="1" si="95"/>
        <v>(abra o arquivo 'Referência 05-2023.xls)</v>
      </c>
      <c r="AG251" s="549">
        <f t="shared" ca="1" si="96"/>
        <v>0</v>
      </c>
      <c r="AH251" s="550">
        <f t="shared" ca="1" si="97"/>
        <v>0.25</v>
      </c>
      <c r="AJ251" s="552"/>
      <c r="AL251" s="573"/>
      <c r="AM251" s="430">
        <f t="shared" ca="1" si="98"/>
        <v>0</v>
      </c>
      <c r="AN251" s="616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4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3" t="str">
        <f t="shared" ca="1" si="84"/>
        <v/>
      </c>
      <c r="M252" s="144" t="s">
        <v>198</v>
      </c>
      <c r="N252" s="145" t="str">
        <f t="shared" ca="1" si="85"/>
        <v>Serviço</v>
      </c>
      <c r="O252" s="146" t="str">
        <f t="shared" ca="1" si="86"/>
        <v>-</v>
      </c>
      <c r="P252" s="147" t="s">
        <v>246</v>
      </c>
      <c r="Q252" s="148"/>
      <c r="R252" s="149" t="str">
        <f t="shared" ca="1" si="87"/>
        <v>(abra o arquivo 'Referência 05-2023.xls)</v>
      </c>
      <c r="S252" s="150" t="str">
        <f t="shared" ca="1" si="88"/>
        <v>-</v>
      </c>
      <c r="T252" s="151">
        <f ca="1">OFFSET(CÁLCULO!H$15,ROW($T252)-ROW(T$15),0)</f>
        <v>0</v>
      </c>
      <c r="U252" s="152"/>
      <c r="V252" s="153" t="s">
        <v>155</v>
      </c>
      <c r="W252" s="151">
        <f t="shared" ca="1" si="89"/>
        <v>0</v>
      </c>
      <c r="X252" s="154">
        <f t="shared" ca="1" si="90"/>
        <v>0</v>
      </c>
      <c r="Y252" s="155" t="s">
        <v>244</v>
      </c>
      <c r="Z252" t="str">
        <f t="shared" ca="1" si="91"/>
        <v/>
      </c>
      <c r="AA252" s="156">
        <f ca="1">IF($C252="S",IF($Z252="CP",$X252,IF($Z252="RA",(($X252)*QCI!$AA$3),0)),SomaAgrup)</f>
        <v>0</v>
      </c>
      <c r="AB252" s="157">
        <f t="shared" ca="1" si="92"/>
        <v>0</v>
      </c>
      <c r="AC252" s="158" t="str">
        <f t="shared" ca="1" si="93"/>
        <v/>
      </c>
      <c r="AD252" s="104" t="str">
        <f ca="1">IF(C252&lt;=CRONO.NivelExibicao,MAX($AD$15:OFFSET(AD252,-1,0))+IF($C252&lt;&gt;1,1,MAX(1,COUNTIF(QCI!$A$13:$A$24,OFFSET($E252,-1,0)))),"")</f>
        <v/>
      </c>
      <c r="AE252" s="114" t="b">
        <f t="shared" ca="1" si="94"/>
        <v>0</v>
      </c>
      <c r="AF252" s="159" t="str">
        <f t="shared" ca="1" si="95"/>
        <v>(abra o arquivo 'Referência 05-2023.xls)</v>
      </c>
      <c r="AG252" s="549">
        <f t="shared" ca="1" si="96"/>
        <v>0</v>
      </c>
      <c r="AH252" s="550">
        <f t="shared" ca="1" si="97"/>
        <v>0.25</v>
      </c>
      <c r="AJ252" s="552"/>
      <c r="AL252" s="573"/>
      <c r="AM252" s="430">
        <f t="shared" ca="1" si="98"/>
        <v>0</v>
      </c>
      <c r="AN252" s="616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4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3" t="str">
        <f t="shared" ca="1" si="84"/>
        <v/>
      </c>
      <c r="M253" s="144" t="s">
        <v>198</v>
      </c>
      <c r="N253" s="145" t="str">
        <f t="shared" ca="1" si="85"/>
        <v>Serviço</v>
      </c>
      <c r="O253" s="146" t="str">
        <f t="shared" ca="1" si="86"/>
        <v>-</v>
      </c>
      <c r="P253" s="147" t="s">
        <v>246</v>
      </c>
      <c r="Q253" s="148"/>
      <c r="R253" s="149" t="str">
        <f t="shared" ca="1" si="87"/>
        <v>(abra o arquivo 'Referência 05-2023.xls)</v>
      </c>
      <c r="S253" s="150" t="str">
        <f t="shared" ca="1" si="88"/>
        <v>-</v>
      </c>
      <c r="T253" s="151">
        <f ca="1">OFFSET(CÁLCULO!H$15,ROW($T253)-ROW(T$15),0)</f>
        <v>0</v>
      </c>
      <c r="U253" s="152"/>
      <c r="V253" s="153" t="s">
        <v>155</v>
      </c>
      <c r="W253" s="151">
        <f t="shared" ca="1" si="89"/>
        <v>0</v>
      </c>
      <c r="X253" s="154">
        <f t="shared" ca="1" si="90"/>
        <v>0</v>
      </c>
      <c r="Y253" s="155" t="s">
        <v>244</v>
      </c>
      <c r="Z253" t="str">
        <f t="shared" ca="1" si="91"/>
        <v/>
      </c>
      <c r="AA253" s="156">
        <f ca="1">IF($C253="S",IF($Z253="CP",$X253,IF($Z253="RA",(($X253)*QCI!$AA$3),0)),SomaAgrup)</f>
        <v>0</v>
      </c>
      <c r="AB253" s="157">
        <f t="shared" ca="1" si="92"/>
        <v>0</v>
      </c>
      <c r="AC253" s="158" t="str">
        <f t="shared" ca="1" si="93"/>
        <v/>
      </c>
      <c r="AD253" s="104" t="str">
        <f ca="1">IF(C253&lt;=CRONO.NivelExibicao,MAX($AD$15:OFFSET(AD253,-1,0))+IF($C253&lt;&gt;1,1,MAX(1,COUNTIF(QCI!$A$13:$A$24,OFFSET($E253,-1,0)))),"")</f>
        <v/>
      </c>
      <c r="AE253" s="114" t="b">
        <f t="shared" ca="1" si="94"/>
        <v>0</v>
      </c>
      <c r="AF253" s="159" t="str">
        <f t="shared" ca="1" si="95"/>
        <v>(abra o arquivo 'Referência 05-2023.xls)</v>
      </c>
      <c r="AG253" s="549">
        <f t="shared" ca="1" si="96"/>
        <v>0</v>
      </c>
      <c r="AH253" s="550">
        <f t="shared" ca="1" si="97"/>
        <v>0.25</v>
      </c>
      <c r="AJ253" s="552"/>
      <c r="AL253" s="573"/>
      <c r="AM253" s="430">
        <f t="shared" ca="1" si="98"/>
        <v>0</v>
      </c>
      <c r="AN253" s="616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4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3" t="str">
        <f t="shared" ca="1" si="84"/>
        <v/>
      </c>
      <c r="M254" s="144" t="s">
        <v>198</v>
      </c>
      <c r="N254" s="145" t="str">
        <f t="shared" ca="1" si="85"/>
        <v>Serviço</v>
      </c>
      <c r="O254" s="146" t="str">
        <f t="shared" ca="1" si="86"/>
        <v>-</v>
      </c>
      <c r="P254" s="147" t="s">
        <v>246</v>
      </c>
      <c r="Q254" s="148"/>
      <c r="R254" s="149" t="str">
        <f t="shared" ca="1" si="87"/>
        <v>(abra o arquivo 'Referência 05-2023.xls)</v>
      </c>
      <c r="S254" s="150" t="str">
        <f t="shared" ca="1" si="88"/>
        <v>-</v>
      </c>
      <c r="T254" s="151">
        <f ca="1">OFFSET(CÁLCULO!H$15,ROW($T254)-ROW(T$15),0)</f>
        <v>0</v>
      </c>
      <c r="U254" s="152"/>
      <c r="V254" s="153" t="s">
        <v>155</v>
      </c>
      <c r="W254" s="151">
        <f t="shared" ca="1" si="89"/>
        <v>0</v>
      </c>
      <c r="X254" s="154">
        <f t="shared" ca="1" si="90"/>
        <v>0</v>
      </c>
      <c r="Y254" s="155" t="s">
        <v>244</v>
      </c>
      <c r="Z254" t="str">
        <f t="shared" ca="1" si="91"/>
        <v/>
      </c>
      <c r="AA254" s="156">
        <f ca="1">IF($C254="S",IF($Z254="CP",$X254,IF($Z254="RA",(($X254)*QCI!$AA$3),0)),SomaAgrup)</f>
        <v>0</v>
      </c>
      <c r="AB254" s="157">
        <f t="shared" ca="1" si="92"/>
        <v>0</v>
      </c>
      <c r="AC254" s="158" t="str">
        <f t="shared" ca="1" si="93"/>
        <v/>
      </c>
      <c r="AD254" s="104" t="str">
        <f ca="1">IF(C254&lt;=CRONO.NivelExibicao,MAX($AD$15:OFFSET(AD254,-1,0))+IF($C254&lt;&gt;1,1,MAX(1,COUNTIF(QCI!$A$13:$A$24,OFFSET($E254,-1,0)))),"")</f>
        <v/>
      </c>
      <c r="AE254" s="114" t="b">
        <f t="shared" ca="1" si="94"/>
        <v>0</v>
      </c>
      <c r="AF254" s="159" t="str">
        <f t="shared" ca="1" si="95"/>
        <v>(abra o arquivo 'Referência 05-2023.xls)</v>
      </c>
      <c r="AG254" s="549">
        <f t="shared" ca="1" si="96"/>
        <v>0</v>
      </c>
      <c r="AH254" s="550">
        <f t="shared" ca="1" si="97"/>
        <v>0.25</v>
      </c>
      <c r="AJ254" s="552"/>
      <c r="AL254" s="573"/>
      <c r="AM254" s="430">
        <f t="shared" ca="1" si="98"/>
        <v>0</v>
      </c>
      <c r="AN254" s="616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4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3" t="str">
        <f t="shared" ca="1" si="84"/>
        <v/>
      </c>
      <c r="M255" s="144" t="s">
        <v>198</v>
      </c>
      <c r="N255" s="145" t="str">
        <f t="shared" ca="1" si="85"/>
        <v>Serviço</v>
      </c>
      <c r="O255" s="146" t="str">
        <f t="shared" ca="1" si="86"/>
        <v>-</v>
      </c>
      <c r="P255" s="147" t="s">
        <v>246</v>
      </c>
      <c r="Q255" s="148"/>
      <c r="R255" s="149" t="str">
        <f t="shared" ca="1" si="87"/>
        <v>(abra o arquivo 'Referência 05-2023.xls)</v>
      </c>
      <c r="S255" s="150" t="str">
        <f t="shared" ca="1" si="88"/>
        <v>-</v>
      </c>
      <c r="T255" s="151">
        <f ca="1">OFFSET(CÁLCULO!H$15,ROW($T255)-ROW(T$15),0)</f>
        <v>0</v>
      </c>
      <c r="U255" s="152"/>
      <c r="V255" s="153" t="s">
        <v>155</v>
      </c>
      <c r="W255" s="151">
        <f t="shared" ca="1" si="89"/>
        <v>0</v>
      </c>
      <c r="X255" s="154">
        <f t="shared" ca="1" si="90"/>
        <v>0</v>
      </c>
      <c r="Y255" s="155" t="s">
        <v>244</v>
      </c>
      <c r="Z255" t="str">
        <f t="shared" ca="1" si="91"/>
        <v/>
      </c>
      <c r="AA255" s="156">
        <f ca="1">IF($C255="S",IF($Z255="CP",$X255,IF($Z255="RA",(($X255)*QCI!$AA$3),0)),SomaAgrup)</f>
        <v>0</v>
      </c>
      <c r="AB255" s="157">
        <f t="shared" ca="1" si="92"/>
        <v>0</v>
      </c>
      <c r="AC255" s="158" t="str">
        <f t="shared" ca="1" si="93"/>
        <v/>
      </c>
      <c r="AD255" s="104" t="str">
        <f ca="1">IF(C255&lt;=CRONO.NivelExibicao,MAX($AD$15:OFFSET(AD255,-1,0))+IF($C255&lt;&gt;1,1,MAX(1,COUNTIF(QCI!$A$13:$A$24,OFFSET($E255,-1,0)))),"")</f>
        <v/>
      </c>
      <c r="AE255" s="114" t="b">
        <f t="shared" ca="1" si="94"/>
        <v>0</v>
      </c>
      <c r="AF255" s="159" t="str">
        <f t="shared" ca="1" si="95"/>
        <v>(abra o arquivo 'Referência 05-2023.xls)</v>
      </c>
      <c r="AG255" s="549">
        <f t="shared" ca="1" si="96"/>
        <v>0</v>
      </c>
      <c r="AH255" s="550">
        <f t="shared" ca="1" si="97"/>
        <v>0.25</v>
      </c>
      <c r="AJ255" s="552"/>
      <c r="AL255" s="573"/>
      <c r="AM255" s="430">
        <f t="shared" ca="1" si="98"/>
        <v>0</v>
      </c>
      <c r="AN255" s="616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4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3" t="str">
        <f t="shared" ca="1" si="84"/>
        <v/>
      </c>
      <c r="M256" s="144" t="s">
        <v>198</v>
      </c>
      <c r="N256" s="145" t="str">
        <f t="shared" ca="1" si="85"/>
        <v>Serviço</v>
      </c>
      <c r="O256" s="146" t="str">
        <f t="shared" ca="1" si="86"/>
        <v>-</v>
      </c>
      <c r="P256" s="147" t="s">
        <v>246</v>
      </c>
      <c r="Q256" s="148"/>
      <c r="R256" s="149" t="str">
        <f t="shared" ca="1" si="87"/>
        <v>(abra o arquivo 'Referência 05-2023.xls)</v>
      </c>
      <c r="S256" s="150" t="str">
        <f t="shared" ca="1" si="88"/>
        <v>-</v>
      </c>
      <c r="T256" s="151">
        <f ca="1">OFFSET(CÁLCULO!H$15,ROW($T256)-ROW(T$15),0)</f>
        <v>0</v>
      </c>
      <c r="U256" s="152"/>
      <c r="V256" s="153" t="s">
        <v>155</v>
      </c>
      <c r="W256" s="151">
        <f t="shared" ca="1" si="89"/>
        <v>0</v>
      </c>
      <c r="X256" s="154">
        <f t="shared" ca="1" si="90"/>
        <v>0</v>
      </c>
      <c r="Y256" s="155" t="s">
        <v>244</v>
      </c>
      <c r="Z256" t="str">
        <f t="shared" ca="1" si="91"/>
        <v/>
      </c>
      <c r="AA256" s="156">
        <f ca="1">IF($C256="S",IF($Z256="CP",$X256,IF($Z256="RA",(($X256)*QCI!$AA$3),0)),SomaAgrup)</f>
        <v>0</v>
      </c>
      <c r="AB256" s="157">
        <f t="shared" ca="1" si="92"/>
        <v>0</v>
      </c>
      <c r="AC256" s="158" t="str">
        <f t="shared" ca="1" si="93"/>
        <v/>
      </c>
      <c r="AD256" s="104" t="str">
        <f ca="1">IF(C256&lt;=CRONO.NivelExibicao,MAX($AD$15:OFFSET(AD256,-1,0))+IF($C256&lt;&gt;1,1,MAX(1,COUNTIF(QCI!$A$13:$A$24,OFFSET($E256,-1,0)))),"")</f>
        <v/>
      </c>
      <c r="AE256" s="114" t="b">
        <f t="shared" ca="1" si="94"/>
        <v>0</v>
      </c>
      <c r="AF256" s="159" t="str">
        <f t="shared" ca="1" si="95"/>
        <v>(abra o arquivo 'Referência 05-2023.xls)</v>
      </c>
      <c r="AG256" s="549">
        <f t="shared" ca="1" si="96"/>
        <v>0</v>
      </c>
      <c r="AH256" s="550">
        <f t="shared" ca="1" si="97"/>
        <v>0.25</v>
      </c>
      <c r="AJ256" s="552"/>
      <c r="AL256" s="573"/>
      <c r="AM256" s="430">
        <f t="shared" ca="1" si="98"/>
        <v>0</v>
      </c>
      <c r="AN256" s="616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4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3" t="str">
        <f t="shared" ca="1" si="84"/>
        <v/>
      </c>
      <c r="M257" s="144" t="s">
        <v>198</v>
      </c>
      <c r="N257" s="145" t="str">
        <f t="shared" ca="1" si="85"/>
        <v>Serviço</v>
      </c>
      <c r="O257" s="146" t="str">
        <f t="shared" ca="1" si="86"/>
        <v>-</v>
      </c>
      <c r="P257" s="147" t="s">
        <v>246</v>
      </c>
      <c r="Q257" s="148"/>
      <c r="R257" s="149" t="str">
        <f t="shared" ca="1" si="87"/>
        <v>(abra o arquivo 'Referência 05-2023.xls)</v>
      </c>
      <c r="S257" s="150" t="str">
        <f t="shared" ca="1" si="88"/>
        <v>-</v>
      </c>
      <c r="T257" s="151">
        <f ca="1">OFFSET(CÁLCULO!H$15,ROW($T257)-ROW(T$15),0)</f>
        <v>0</v>
      </c>
      <c r="U257" s="152"/>
      <c r="V257" s="153" t="s">
        <v>155</v>
      </c>
      <c r="W257" s="151">
        <f t="shared" ca="1" si="89"/>
        <v>0</v>
      </c>
      <c r="X257" s="154">
        <f t="shared" ca="1" si="90"/>
        <v>0</v>
      </c>
      <c r="Y257" s="155" t="s">
        <v>244</v>
      </c>
      <c r="Z257" t="str">
        <f t="shared" ca="1" si="91"/>
        <v/>
      </c>
      <c r="AA257" s="156">
        <f ca="1">IF($C257="S",IF($Z257="CP",$X257,IF($Z257="RA",(($X257)*QCI!$AA$3),0)),SomaAgrup)</f>
        <v>0</v>
      </c>
      <c r="AB257" s="157">
        <f t="shared" ca="1" si="92"/>
        <v>0</v>
      </c>
      <c r="AC257" s="158" t="str">
        <f t="shared" ca="1" si="93"/>
        <v/>
      </c>
      <c r="AD257" s="104" t="str">
        <f ca="1">IF(C257&lt;=CRONO.NivelExibicao,MAX($AD$15:OFFSET(AD257,-1,0))+IF($C257&lt;&gt;1,1,MAX(1,COUNTIF(QCI!$A$13:$A$24,OFFSET($E257,-1,0)))),"")</f>
        <v/>
      </c>
      <c r="AE257" s="114" t="b">
        <f t="shared" ca="1" si="94"/>
        <v>0</v>
      </c>
      <c r="AF257" s="159" t="str">
        <f t="shared" ca="1" si="95"/>
        <v>(abra o arquivo 'Referência 05-2023.xls)</v>
      </c>
      <c r="AG257" s="549">
        <f t="shared" ca="1" si="96"/>
        <v>0</v>
      </c>
      <c r="AH257" s="550">
        <f t="shared" ca="1" si="97"/>
        <v>0.25</v>
      </c>
      <c r="AJ257" s="552"/>
      <c r="AL257" s="573"/>
      <c r="AM257" s="430">
        <f t="shared" ca="1" si="98"/>
        <v>0</v>
      </c>
      <c r="AN257" s="616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4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3" t="str">
        <f t="shared" ca="1" si="84"/>
        <v/>
      </c>
      <c r="M258" s="144" t="s">
        <v>198</v>
      </c>
      <c r="N258" s="145" t="str">
        <f t="shared" ca="1" si="85"/>
        <v>Serviço</v>
      </c>
      <c r="O258" s="146" t="str">
        <f t="shared" ca="1" si="86"/>
        <v>-</v>
      </c>
      <c r="P258" s="147" t="s">
        <v>246</v>
      </c>
      <c r="Q258" s="148"/>
      <c r="R258" s="149" t="str">
        <f t="shared" ca="1" si="87"/>
        <v>(abra o arquivo 'Referência 05-2023.xls)</v>
      </c>
      <c r="S258" s="150" t="str">
        <f t="shared" ca="1" si="88"/>
        <v>-</v>
      </c>
      <c r="T258" s="151">
        <f ca="1">OFFSET(CÁLCULO!H$15,ROW($T258)-ROW(T$15),0)</f>
        <v>0</v>
      </c>
      <c r="U258" s="152"/>
      <c r="V258" s="153" t="s">
        <v>155</v>
      </c>
      <c r="W258" s="151">
        <f t="shared" ca="1" si="89"/>
        <v>0</v>
      </c>
      <c r="X258" s="154">
        <f t="shared" ca="1" si="90"/>
        <v>0</v>
      </c>
      <c r="Y258" s="155" t="s">
        <v>244</v>
      </c>
      <c r="Z258" t="str">
        <f t="shared" ca="1" si="91"/>
        <v/>
      </c>
      <c r="AA258" s="156">
        <f ca="1">IF($C258="S",IF($Z258="CP",$X258,IF($Z258="RA",(($X258)*QCI!$AA$3),0)),SomaAgrup)</f>
        <v>0</v>
      </c>
      <c r="AB258" s="157">
        <f t="shared" ca="1" si="92"/>
        <v>0</v>
      </c>
      <c r="AC258" s="158" t="str">
        <f t="shared" ca="1" si="93"/>
        <v/>
      </c>
      <c r="AD258" s="104" t="str">
        <f ca="1">IF(C258&lt;=CRONO.NivelExibicao,MAX($AD$15:OFFSET(AD258,-1,0))+IF($C258&lt;&gt;1,1,MAX(1,COUNTIF(QCI!$A$13:$A$24,OFFSET($E258,-1,0)))),"")</f>
        <v/>
      </c>
      <c r="AE258" s="114" t="b">
        <f t="shared" ca="1" si="94"/>
        <v>0</v>
      </c>
      <c r="AF258" s="159" t="str">
        <f t="shared" ca="1" si="95"/>
        <v>(abra o arquivo 'Referência 05-2023.xls)</v>
      </c>
      <c r="AG258" s="549">
        <f t="shared" ca="1" si="96"/>
        <v>0</v>
      </c>
      <c r="AH258" s="550">
        <f t="shared" ca="1" si="97"/>
        <v>0.25</v>
      </c>
      <c r="AJ258" s="552"/>
      <c r="AL258" s="573"/>
      <c r="AM258" s="430">
        <f t="shared" ca="1" si="98"/>
        <v>0</v>
      </c>
      <c r="AN258" s="616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4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3" t="str">
        <f t="shared" ca="1" si="84"/>
        <v/>
      </c>
      <c r="M259" s="144" t="s">
        <v>198</v>
      </c>
      <c r="N259" s="145" t="str">
        <f t="shared" ca="1" si="85"/>
        <v>Serviço</v>
      </c>
      <c r="O259" s="146" t="str">
        <f t="shared" ca="1" si="86"/>
        <v>-</v>
      </c>
      <c r="P259" s="147" t="s">
        <v>246</v>
      </c>
      <c r="Q259" s="148"/>
      <c r="R259" s="149" t="str">
        <f t="shared" ca="1" si="87"/>
        <v>(abra o arquivo 'Referência 05-2023.xls)</v>
      </c>
      <c r="S259" s="150" t="str">
        <f t="shared" ca="1" si="88"/>
        <v>-</v>
      </c>
      <c r="T259" s="151">
        <f ca="1">OFFSET(CÁLCULO!H$15,ROW($T259)-ROW(T$15),0)</f>
        <v>0</v>
      </c>
      <c r="U259" s="152"/>
      <c r="V259" s="153" t="s">
        <v>155</v>
      </c>
      <c r="W259" s="151">
        <f t="shared" ca="1" si="89"/>
        <v>0</v>
      </c>
      <c r="X259" s="154">
        <f t="shared" ca="1" si="90"/>
        <v>0</v>
      </c>
      <c r="Y259" s="155" t="s">
        <v>244</v>
      </c>
      <c r="Z259" t="str">
        <f t="shared" ca="1" si="91"/>
        <v/>
      </c>
      <c r="AA259" s="156">
        <f ca="1">IF($C259="S",IF($Z259="CP",$X259,IF($Z259="RA",(($X259)*QCI!$AA$3),0)),SomaAgrup)</f>
        <v>0</v>
      </c>
      <c r="AB259" s="157">
        <f t="shared" ca="1" si="92"/>
        <v>0</v>
      </c>
      <c r="AC259" s="158" t="str">
        <f t="shared" ca="1" si="93"/>
        <v/>
      </c>
      <c r="AD259" s="104" t="str">
        <f ca="1">IF(C259&lt;=CRONO.NivelExibicao,MAX($AD$15:OFFSET(AD259,-1,0))+IF($C259&lt;&gt;1,1,MAX(1,COUNTIF(QCI!$A$13:$A$24,OFFSET($E259,-1,0)))),"")</f>
        <v/>
      </c>
      <c r="AE259" s="114" t="b">
        <f t="shared" ca="1" si="94"/>
        <v>0</v>
      </c>
      <c r="AF259" s="159" t="str">
        <f t="shared" ca="1" si="95"/>
        <v>(abra o arquivo 'Referência 05-2023.xls)</v>
      </c>
      <c r="AG259" s="549">
        <f t="shared" ca="1" si="96"/>
        <v>0</v>
      </c>
      <c r="AH259" s="550">
        <f t="shared" ca="1" si="97"/>
        <v>0.25</v>
      </c>
      <c r="AJ259" s="552"/>
      <c r="AL259" s="573"/>
      <c r="AM259" s="430">
        <f t="shared" ca="1" si="98"/>
        <v>0</v>
      </c>
      <c r="AN259" s="616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4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3" t="str">
        <f t="shared" ca="1" si="84"/>
        <v/>
      </c>
      <c r="M260" s="144" t="s">
        <v>198</v>
      </c>
      <c r="N260" s="145" t="str">
        <f t="shared" ca="1" si="85"/>
        <v>Serviço</v>
      </c>
      <c r="O260" s="146" t="str">
        <f t="shared" ca="1" si="86"/>
        <v>-</v>
      </c>
      <c r="P260" s="147" t="s">
        <v>246</v>
      </c>
      <c r="Q260" s="148"/>
      <c r="R260" s="149" t="str">
        <f t="shared" ca="1" si="87"/>
        <v>(abra o arquivo 'Referência 05-2023.xls)</v>
      </c>
      <c r="S260" s="150" t="str">
        <f t="shared" ca="1" si="88"/>
        <v>-</v>
      </c>
      <c r="T260" s="151">
        <f ca="1">OFFSET(CÁLCULO!H$15,ROW($T260)-ROW(T$15),0)</f>
        <v>0</v>
      </c>
      <c r="U260" s="152"/>
      <c r="V260" s="153" t="s">
        <v>155</v>
      </c>
      <c r="W260" s="151">
        <f t="shared" ca="1" si="89"/>
        <v>0</v>
      </c>
      <c r="X260" s="154">
        <f t="shared" ca="1" si="90"/>
        <v>0</v>
      </c>
      <c r="Y260" s="155" t="s">
        <v>244</v>
      </c>
      <c r="Z260" t="str">
        <f t="shared" ca="1" si="91"/>
        <v/>
      </c>
      <c r="AA260" s="156">
        <f ca="1">IF($C260="S",IF($Z260="CP",$X260,IF($Z260="RA",(($X260)*QCI!$AA$3),0)),SomaAgrup)</f>
        <v>0</v>
      </c>
      <c r="AB260" s="157">
        <f t="shared" ca="1" si="92"/>
        <v>0</v>
      </c>
      <c r="AC260" s="158" t="str">
        <f t="shared" ca="1" si="93"/>
        <v/>
      </c>
      <c r="AD260" s="104" t="str">
        <f ca="1">IF(C260&lt;=CRONO.NivelExibicao,MAX($AD$15:OFFSET(AD260,-1,0))+IF($C260&lt;&gt;1,1,MAX(1,COUNTIF(QCI!$A$13:$A$24,OFFSET($E260,-1,0)))),"")</f>
        <v/>
      </c>
      <c r="AE260" s="114" t="b">
        <f t="shared" ca="1" si="94"/>
        <v>0</v>
      </c>
      <c r="AF260" s="159" t="str">
        <f t="shared" ca="1" si="95"/>
        <v>(abra o arquivo 'Referência 05-2023.xls)</v>
      </c>
      <c r="AG260" s="549">
        <f t="shared" ca="1" si="96"/>
        <v>0</v>
      </c>
      <c r="AH260" s="550">
        <f t="shared" ca="1" si="97"/>
        <v>0.25</v>
      </c>
      <c r="AJ260" s="552"/>
      <c r="AL260" s="573"/>
      <c r="AM260" s="430">
        <f t="shared" ca="1" si="98"/>
        <v>0</v>
      </c>
      <c r="AN260" s="616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4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3" t="str">
        <f t="shared" ca="1" si="84"/>
        <v/>
      </c>
      <c r="M261" s="144" t="s">
        <v>198</v>
      </c>
      <c r="N261" s="145" t="str">
        <f t="shared" ca="1" si="85"/>
        <v>Serviço</v>
      </c>
      <c r="O261" s="146" t="str">
        <f t="shared" ca="1" si="86"/>
        <v>-</v>
      </c>
      <c r="P261" s="147" t="s">
        <v>246</v>
      </c>
      <c r="Q261" s="148"/>
      <c r="R261" s="149" t="str">
        <f t="shared" ca="1" si="87"/>
        <v>(abra o arquivo 'Referência 05-2023.xls)</v>
      </c>
      <c r="S261" s="150" t="str">
        <f t="shared" ca="1" si="88"/>
        <v>-</v>
      </c>
      <c r="T261" s="151">
        <f ca="1">OFFSET(CÁLCULO!H$15,ROW($T261)-ROW(T$15),0)</f>
        <v>0</v>
      </c>
      <c r="U261" s="152"/>
      <c r="V261" s="153" t="s">
        <v>155</v>
      </c>
      <c r="W261" s="151">
        <f t="shared" ca="1" si="89"/>
        <v>0</v>
      </c>
      <c r="X261" s="154">
        <f t="shared" ca="1" si="90"/>
        <v>0</v>
      </c>
      <c r="Y261" s="155" t="s">
        <v>244</v>
      </c>
      <c r="Z261" t="str">
        <f t="shared" ca="1" si="91"/>
        <v/>
      </c>
      <c r="AA261" s="156">
        <f ca="1">IF($C261="S",IF($Z261="CP",$X261,IF($Z261="RA",(($X261)*QCI!$AA$3),0)),SomaAgrup)</f>
        <v>0</v>
      </c>
      <c r="AB261" s="157">
        <f t="shared" ca="1" si="92"/>
        <v>0</v>
      </c>
      <c r="AC261" s="158" t="str">
        <f t="shared" ca="1" si="93"/>
        <v/>
      </c>
      <c r="AD261" s="104" t="str">
        <f ca="1">IF(C261&lt;=CRONO.NivelExibicao,MAX($AD$15:OFFSET(AD261,-1,0))+IF($C261&lt;&gt;1,1,MAX(1,COUNTIF(QCI!$A$13:$A$24,OFFSET($E261,-1,0)))),"")</f>
        <v/>
      </c>
      <c r="AE261" s="114" t="b">
        <f t="shared" ca="1" si="94"/>
        <v>0</v>
      </c>
      <c r="AF261" s="159" t="str">
        <f t="shared" ca="1" si="95"/>
        <v>(abra o arquivo 'Referência 05-2023.xls)</v>
      </c>
      <c r="AG261" s="549">
        <f t="shared" ca="1" si="96"/>
        <v>0</v>
      </c>
      <c r="AH261" s="550">
        <f t="shared" ca="1" si="97"/>
        <v>0.25</v>
      </c>
      <c r="AJ261" s="552"/>
      <c r="AL261" s="573"/>
      <c r="AM261" s="430">
        <f t="shared" ca="1" si="98"/>
        <v>0</v>
      </c>
      <c r="AN261" s="616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4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3" t="str">
        <f t="shared" ca="1" si="84"/>
        <v/>
      </c>
      <c r="M262" s="144" t="s">
        <v>198</v>
      </c>
      <c r="N262" s="145" t="str">
        <f t="shared" ca="1" si="85"/>
        <v>Serviço</v>
      </c>
      <c r="O262" s="146" t="str">
        <f t="shared" ca="1" si="86"/>
        <v>-</v>
      </c>
      <c r="P262" s="147" t="s">
        <v>246</v>
      </c>
      <c r="Q262" s="148"/>
      <c r="R262" s="149" t="str">
        <f t="shared" ca="1" si="87"/>
        <v>(abra o arquivo 'Referência 05-2023.xls)</v>
      </c>
      <c r="S262" s="150" t="str">
        <f t="shared" ca="1" si="88"/>
        <v>-</v>
      </c>
      <c r="T262" s="151">
        <f ca="1">OFFSET(CÁLCULO!H$15,ROW($T262)-ROW(T$15),0)</f>
        <v>0</v>
      </c>
      <c r="U262" s="152"/>
      <c r="V262" s="153" t="s">
        <v>155</v>
      </c>
      <c r="W262" s="151">
        <f t="shared" ca="1" si="89"/>
        <v>0</v>
      </c>
      <c r="X262" s="154">
        <f t="shared" ca="1" si="90"/>
        <v>0</v>
      </c>
      <c r="Y262" s="155" t="s">
        <v>244</v>
      </c>
      <c r="Z262" t="str">
        <f t="shared" ca="1" si="91"/>
        <v/>
      </c>
      <c r="AA262" s="156">
        <f ca="1">IF($C262="S",IF($Z262="CP",$X262,IF($Z262="RA",(($X262)*QCI!$AA$3),0)),SomaAgrup)</f>
        <v>0</v>
      </c>
      <c r="AB262" s="157">
        <f t="shared" ca="1" si="92"/>
        <v>0</v>
      </c>
      <c r="AC262" s="158" t="str">
        <f t="shared" ca="1" si="93"/>
        <v/>
      </c>
      <c r="AD262" s="104" t="str">
        <f ca="1">IF(C262&lt;=CRONO.NivelExibicao,MAX($AD$15:OFFSET(AD262,-1,0))+IF($C262&lt;&gt;1,1,MAX(1,COUNTIF(QCI!$A$13:$A$24,OFFSET($E262,-1,0)))),"")</f>
        <v/>
      </c>
      <c r="AE262" s="114" t="b">
        <f t="shared" ca="1" si="94"/>
        <v>0</v>
      </c>
      <c r="AF262" s="159" t="str">
        <f t="shared" ca="1" si="95"/>
        <v>(abra o arquivo 'Referência 05-2023.xls)</v>
      </c>
      <c r="AG262" s="549">
        <f t="shared" ca="1" si="96"/>
        <v>0</v>
      </c>
      <c r="AH262" s="550">
        <f t="shared" ca="1" si="97"/>
        <v>0.25</v>
      </c>
      <c r="AJ262" s="552"/>
      <c r="AL262" s="573"/>
      <c r="AM262" s="430">
        <f t="shared" ca="1" si="98"/>
        <v>0</v>
      </c>
      <c r="AN262" s="616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4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3" t="str">
        <f t="shared" ca="1" si="84"/>
        <v/>
      </c>
      <c r="M263" s="144" t="s">
        <v>198</v>
      </c>
      <c r="N263" s="145" t="str">
        <f t="shared" ca="1" si="85"/>
        <v>Serviço</v>
      </c>
      <c r="O263" s="146" t="str">
        <f t="shared" ca="1" si="86"/>
        <v>-</v>
      </c>
      <c r="P263" s="147" t="s">
        <v>246</v>
      </c>
      <c r="Q263" s="148"/>
      <c r="R263" s="149" t="str">
        <f t="shared" ca="1" si="87"/>
        <v>(abra o arquivo 'Referência 05-2023.xls)</v>
      </c>
      <c r="S263" s="150" t="str">
        <f t="shared" ca="1" si="88"/>
        <v>-</v>
      </c>
      <c r="T263" s="151">
        <f ca="1">OFFSET(CÁLCULO!H$15,ROW($T263)-ROW(T$15),0)</f>
        <v>0</v>
      </c>
      <c r="U263" s="152"/>
      <c r="V263" s="153" t="s">
        <v>155</v>
      </c>
      <c r="W263" s="151">
        <f t="shared" ca="1" si="89"/>
        <v>0</v>
      </c>
      <c r="X263" s="154">
        <f t="shared" ca="1" si="90"/>
        <v>0</v>
      </c>
      <c r="Y263" s="155" t="s">
        <v>244</v>
      </c>
      <c r="Z263" t="str">
        <f t="shared" ca="1" si="91"/>
        <v/>
      </c>
      <c r="AA263" s="156">
        <f ca="1">IF($C263="S",IF($Z263="CP",$X263,IF($Z263="RA",(($X263)*QCI!$AA$3),0)),SomaAgrup)</f>
        <v>0</v>
      </c>
      <c r="AB263" s="157">
        <f t="shared" ca="1" si="92"/>
        <v>0</v>
      </c>
      <c r="AC263" s="158" t="str">
        <f t="shared" ca="1" si="93"/>
        <v/>
      </c>
      <c r="AD263" s="104" t="str">
        <f ca="1">IF(C263&lt;=CRONO.NivelExibicao,MAX($AD$15:OFFSET(AD263,-1,0))+IF($C263&lt;&gt;1,1,MAX(1,COUNTIF(QCI!$A$13:$A$24,OFFSET($E263,-1,0)))),"")</f>
        <v/>
      </c>
      <c r="AE263" s="114" t="b">
        <f t="shared" ca="1" si="94"/>
        <v>0</v>
      </c>
      <c r="AF263" s="159" t="str">
        <f t="shared" ca="1" si="95"/>
        <v>(abra o arquivo 'Referência 05-2023.xls)</v>
      </c>
      <c r="AG263" s="549">
        <f t="shared" ca="1" si="96"/>
        <v>0</v>
      </c>
      <c r="AH263" s="550">
        <f t="shared" ca="1" si="97"/>
        <v>0.25</v>
      </c>
      <c r="AJ263" s="552"/>
      <c r="AL263" s="573"/>
      <c r="AM263" s="430">
        <f t="shared" ca="1" si="98"/>
        <v>0</v>
      </c>
      <c r="AN263" s="616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4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3" t="str">
        <f t="shared" ca="1" si="84"/>
        <v/>
      </c>
      <c r="M264" s="144" t="s">
        <v>198</v>
      </c>
      <c r="N264" s="145" t="str">
        <f t="shared" ca="1" si="85"/>
        <v>Serviço</v>
      </c>
      <c r="O264" s="146" t="str">
        <f t="shared" ca="1" si="86"/>
        <v>-</v>
      </c>
      <c r="P264" s="147" t="s">
        <v>246</v>
      </c>
      <c r="Q264" s="148"/>
      <c r="R264" s="149" t="str">
        <f t="shared" ca="1" si="87"/>
        <v>(abra o arquivo 'Referência 05-2023.xls)</v>
      </c>
      <c r="S264" s="150" t="str">
        <f t="shared" ca="1" si="88"/>
        <v>-</v>
      </c>
      <c r="T264" s="151">
        <f ca="1">OFFSET(CÁLCULO!H$15,ROW($T264)-ROW(T$15),0)</f>
        <v>0</v>
      </c>
      <c r="U264" s="152"/>
      <c r="V264" s="153" t="s">
        <v>155</v>
      </c>
      <c r="W264" s="151">
        <f t="shared" ca="1" si="89"/>
        <v>0</v>
      </c>
      <c r="X264" s="154">
        <f t="shared" ca="1" si="90"/>
        <v>0</v>
      </c>
      <c r="Y264" s="155" t="s">
        <v>244</v>
      </c>
      <c r="Z264" t="str">
        <f t="shared" ca="1" si="91"/>
        <v/>
      </c>
      <c r="AA264" s="156">
        <f ca="1">IF($C264="S",IF($Z264="CP",$X264,IF($Z264="RA",(($X264)*QCI!$AA$3),0)),SomaAgrup)</f>
        <v>0</v>
      </c>
      <c r="AB264" s="157">
        <f t="shared" ca="1" si="92"/>
        <v>0</v>
      </c>
      <c r="AC264" s="158" t="str">
        <f t="shared" ca="1" si="93"/>
        <v/>
      </c>
      <c r="AD264" s="104" t="str">
        <f ca="1">IF(C264&lt;=CRONO.NivelExibicao,MAX($AD$15:OFFSET(AD264,-1,0))+IF($C264&lt;&gt;1,1,MAX(1,COUNTIF(QCI!$A$13:$A$24,OFFSET($E264,-1,0)))),"")</f>
        <v/>
      </c>
      <c r="AE264" s="114" t="b">
        <f t="shared" ca="1" si="94"/>
        <v>0</v>
      </c>
      <c r="AF264" s="159" t="str">
        <f t="shared" ca="1" si="95"/>
        <v>(abra o arquivo 'Referência 05-2023.xls)</v>
      </c>
      <c r="AG264" s="549">
        <f t="shared" ca="1" si="96"/>
        <v>0</v>
      </c>
      <c r="AH264" s="550">
        <f t="shared" ca="1" si="97"/>
        <v>0.25</v>
      </c>
      <c r="AJ264" s="552"/>
      <c r="AL264" s="573"/>
      <c r="AM264" s="430">
        <f t="shared" ca="1" si="98"/>
        <v>0</v>
      </c>
      <c r="AN264" s="616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4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3" t="str">
        <f t="shared" ca="1" si="84"/>
        <v/>
      </c>
      <c r="M265" s="144" t="s">
        <v>198</v>
      </c>
      <c r="N265" s="145" t="str">
        <f t="shared" ca="1" si="85"/>
        <v>Serviço</v>
      </c>
      <c r="O265" s="146" t="str">
        <f t="shared" ca="1" si="86"/>
        <v>-</v>
      </c>
      <c r="P265" s="147" t="s">
        <v>246</v>
      </c>
      <c r="Q265" s="148"/>
      <c r="R265" s="149" t="str">
        <f t="shared" ca="1" si="87"/>
        <v>(abra o arquivo 'Referência 05-2023.xls)</v>
      </c>
      <c r="S265" s="150" t="str">
        <f t="shared" ca="1" si="88"/>
        <v>-</v>
      </c>
      <c r="T265" s="151">
        <f ca="1">OFFSET(CÁLCULO!H$15,ROW($T265)-ROW(T$15),0)</f>
        <v>0</v>
      </c>
      <c r="U265" s="152"/>
      <c r="V265" s="153" t="s">
        <v>155</v>
      </c>
      <c r="W265" s="151">
        <f t="shared" ca="1" si="89"/>
        <v>0</v>
      </c>
      <c r="X265" s="154">
        <f t="shared" ca="1" si="90"/>
        <v>0</v>
      </c>
      <c r="Y265" s="155" t="s">
        <v>244</v>
      </c>
      <c r="Z265" t="str">
        <f t="shared" ca="1" si="91"/>
        <v/>
      </c>
      <c r="AA265" s="156">
        <f ca="1">IF($C265="S",IF($Z265="CP",$X265,IF($Z265="RA",(($X265)*QCI!$AA$3),0)),SomaAgrup)</f>
        <v>0</v>
      </c>
      <c r="AB265" s="157">
        <f t="shared" ca="1" si="92"/>
        <v>0</v>
      </c>
      <c r="AC265" s="158" t="str">
        <f t="shared" ca="1" si="93"/>
        <v/>
      </c>
      <c r="AD265" s="104" t="str">
        <f ca="1">IF(C265&lt;=CRONO.NivelExibicao,MAX($AD$15:OFFSET(AD265,-1,0))+IF($C265&lt;&gt;1,1,MAX(1,COUNTIF(QCI!$A$13:$A$24,OFFSET($E265,-1,0)))),"")</f>
        <v/>
      </c>
      <c r="AE265" s="114" t="b">
        <f t="shared" ca="1" si="94"/>
        <v>0</v>
      </c>
      <c r="AF265" s="159" t="str">
        <f t="shared" ca="1" si="95"/>
        <v>(abra o arquivo 'Referência 05-2023.xls)</v>
      </c>
      <c r="AG265" s="549">
        <f t="shared" ca="1" si="96"/>
        <v>0</v>
      </c>
      <c r="AH265" s="550">
        <f t="shared" ca="1" si="97"/>
        <v>0.25</v>
      </c>
      <c r="AJ265" s="552"/>
      <c r="AL265" s="573"/>
      <c r="AM265" s="430">
        <f t="shared" ca="1" si="98"/>
        <v>0</v>
      </c>
      <c r="AN265" s="616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3" t="s">
        <v>245</v>
      </c>
      <c r="M266" s="542"/>
      <c r="N266" s="543"/>
      <c r="O266" s="542"/>
      <c r="P266" s="544"/>
      <c r="Q266" s="544"/>
      <c r="R266" s="544"/>
      <c r="S266" s="544"/>
      <c r="T266" s="544"/>
      <c r="U266" s="544"/>
      <c r="V266" s="544"/>
      <c r="W266" s="544"/>
      <c r="X266" s="545"/>
      <c r="Y266" s="104"/>
      <c r="AA266" s="104"/>
      <c r="AB266" s="104"/>
      <c r="AC266" s="104"/>
      <c r="AD266" s="104"/>
      <c r="AE266" s="104"/>
      <c r="AF266" s="104"/>
      <c r="AG266" s="537"/>
      <c r="AH266" s="535"/>
      <c r="AJ266" s="546"/>
      <c r="AL266" s="537"/>
      <c r="AM266" s="534"/>
      <c r="AN266" s="535"/>
    </row>
    <row r="267" spans="1:40" x14ac:dyDescent="0.2"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4"/>
      <c r="AA267" s="104"/>
      <c r="AB267" s="104"/>
      <c r="AC267" s="104"/>
      <c r="AD267" s="104"/>
      <c r="AE267" s="104"/>
      <c r="AF267" s="104"/>
      <c r="AG267" s="104"/>
      <c r="AH267" s="104"/>
      <c r="AN267" s="104"/>
    </row>
    <row r="268" spans="1:40" x14ac:dyDescent="0.2"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4"/>
      <c r="AA268" s="104"/>
      <c r="AB268" s="104"/>
      <c r="AC268" s="104"/>
      <c r="AD268" s="104"/>
      <c r="AE268" s="104"/>
      <c r="AF268" s="104"/>
      <c r="AG268" s="104"/>
      <c r="AH268" s="104"/>
      <c r="AN268" s="104"/>
    </row>
    <row r="269" spans="1:40" ht="14.25" x14ac:dyDescent="0.2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69" t="s">
        <v>247</v>
      </c>
      <c r="P269" s="104"/>
      <c r="Q269" s="703" t="s">
        <v>248</v>
      </c>
      <c r="R269" s="703"/>
      <c r="S269" s="703"/>
      <c r="T269" s="703"/>
      <c r="U269" s="703"/>
      <c r="V269" s="703"/>
      <c r="W269" s="703"/>
      <c r="X269" s="703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N269" s="104"/>
    </row>
    <row r="270" spans="1:40" x14ac:dyDescent="0.2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N270" s="104"/>
    </row>
    <row r="271" spans="1:40" ht="14.25" x14ac:dyDescent="0.2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70" t="s">
        <v>186</v>
      </c>
      <c r="P271" s="105"/>
      <c r="Q271" s="105"/>
      <c r="R271" s="105"/>
      <c r="S271" s="105"/>
      <c r="T271" s="105"/>
      <c r="U271" s="105"/>
      <c r="V271" s="105"/>
      <c r="W271" s="105"/>
      <c r="X271" s="171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N271" s="104"/>
    </row>
    <row r="272" spans="1:40" ht="12.75" customHeight="1" x14ac:dyDescent="0.2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704"/>
      <c r="P272" s="704"/>
      <c r="Q272" s="704"/>
      <c r="R272" s="704"/>
      <c r="S272" s="704"/>
      <c r="T272" s="704"/>
      <c r="U272" s="704"/>
      <c r="V272" s="704"/>
      <c r="W272" s="704"/>
      <c r="X272" s="7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N272" s="104"/>
    </row>
    <row r="273" spans="1:40" x14ac:dyDescent="0.2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704"/>
      <c r="P273" s="704"/>
      <c r="Q273" s="704"/>
      <c r="R273" s="704"/>
      <c r="S273" s="704"/>
      <c r="T273" s="704"/>
      <c r="U273" s="704"/>
      <c r="V273" s="704"/>
      <c r="W273" s="704"/>
      <c r="X273" s="7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N273" s="104"/>
    </row>
    <row r="274" spans="1:40" x14ac:dyDescent="0.2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704"/>
      <c r="P274" s="704"/>
      <c r="Q274" s="704"/>
      <c r="R274" s="704"/>
      <c r="S274" s="704"/>
      <c r="T274" s="704"/>
      <c r="U274" s="704"/>
      <c r="V274" s="704"/>
      <c r="W274" s="704"/>
      <c r="X274" s="7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N274" s="104"/>
    </row>
    <row r="275" spans="1:40" ht="14.25" x14ac:dyDescent="0.2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580"/>
      <c r="P275" s="580"/>
      <c r="Q275" s="580"/>
      <c r="R275" s="580"/>
      <c r="S275" s="580"/>
      <c r="T275" s="580"/>
      <c r="U275" s="580"/>
      <c r="V275" s="580"/>
      <c r="W275" s="580"/>
      <c r="X275" s="580"/>
      <c r="Y275" s="580"/>
      <c r="Z275" s="172"/>
      <c r="AA275" s="172"/>
      <c r="AB275" s="172"/>
      <c r="AC275" s="104"/>
      <c r="AD275" s="104"/>
      <c r="AE275" s="104"/>
      <c r="AF275" s="104"/>
      <c r="AG275" s="104"/>
      <c r="AH275" s="104"/>
      <c r="AN275" s="104"/>
    </row>
    <row r="276" spans="1:40" ht="15" x14ac:dyDescent="0.25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705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5"/>
      <c r="Q276" s="705"/>
      <c r="R276" s="705"/>
      <c r="S276" s="705"/>
      <c r="T276" s="705"/>
      <c r="U276" s="705"/>
      <c r="V276" s="705"/>
      <c r="W276" s="705"/>
      <c r="X276" s="705"/>
      <c r="Y276" s="173"/>
      <c r="Z276" s="173"/>
      <c r="AA276" s="173"/>
      <c r="AB276" s="173"/>
      <c r="AC276" s="104"/>
      <c r="AD276" s="104"/>
      <c r="AE276" s="104"/>
      <c r="AF276" s="104"/>
      <c r="AG276" s="104"/>
      <c r="AH276" s="104"/>
      <c r="AN276" s="104"/>
    </row>
    <row r="277" spans="1:40" ht="15" customHeight="1" x14ac:dyDescent="0.25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707" t="s">
        <v>249</v>
      </c>
      <c r="P277" s="707"/>
      <c r="Q277" s="707"/>
      <c r="R277" s="707"/>
      <c r="S277" s="707"/>
      <c r="T277" s="707"/>
      <c r="U277" s="707"/>
      <c r="V277" s="707"/>
      <c r="W277" s="707"/>
      <c r="X277" s="707"/>
      <c r="Y277" s="173"/>
      <c r="Z277" s="173"/>
      <c r="AA277" s="173"/>
      <c r="AB277" s="173"/>
      <c r="AC277" s="104"/>
      <c r="AD277" s="104"/>
      <c r="AE277" s="104"/>
      <c r="AF277" s="104"/>
      <c r="AG277" s="104"/>
      <c r="AH277" s="104"/>
      <c r="AN277" s="104"/>
    </row>
    <row r="278" spans="1:40" x14ac:dyDescent="0.2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N278" s="104"/>
    </row>
    <row r="279" spans="1:40" ht="30" customHeight="1" x14ac:dyDescent="0.2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706" t="str">
        <f>Import.Município</f>
        <v>CÉU AZUL/PR</v>
      </c>
      <c r="P279" s="706"/>
      <c r="Q279" s="706"/>
      <c r="R279" s="104"/>
      <c r="S279" s="601"/>
      <c r="T279" s="601"/>
      <c r="U279" s="601"/>
      <c r="V279" s="601"/>
      <c r="W279" s="527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N279" s="104"/>
    </row>
    <row r="280" spans="1:40" x14ac:dyDescent="0.2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2" t="s">
        <v>187</v>
      </c>
      <c r="P280" s="104"/>
      <c r="Q280" s="104"/>
      <c r="R280" s="104"/>
      <c r="S280" s="229" t="s">
        <v>189</v>
      </c>
      <c r="T280" s="229"/>
      <c r="U280" s="229"/>
      <c r="V280" s="229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N280" s="104"/>
    </row>
    <row r="281" spans="1:40" x14ac:dyDescent="0.2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94" t="s">
        <v>107</v>
      </c>
      <c r="T281" s="95" t="str">
        <f t="array" ref="T281:T283">Import.RespOrçamento</f>
        <v>GIAN CARLOS BORTOLINI VALLI</v>
      </c>
      <c r="U281" s="176"/>
      <c r="V281" s="96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N281" s="104"/>
    </row>
    <row r="282" spans="1:40" x14ac:dyDescent="0.2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701">
        <f>DADOS!$F$25</f>
        <v>45146</v>
      </c>
      <c r="P282" s="701"/>
      <c r="Q282" s="701"/>
      <c r="R282" s="104"/>
      <c r="S282" s="94" t="s">
        <v>108</v>
      </c>
      <c r="T282" s="95" t="str">
        <v>CREA 163755/D</v>
      </c>
      <c r="U282" s="96"/>
      <c r="V282" s="96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N282" s="104"/>
    </row>
    <row r="283" spans="1:40" x14ac:dyDescent="0.2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77" t="s">
        <v>188</v>
      </c>
      <c r="P283" s="178"/>
      <c r="Q283" s="178"/>
      <c r="R283" s="104"/>
      <c r="S283" s="94" t="s">
        <v>109</v>
      </c>
      <c r="T283" s="95">
        <v>0</v>
      </c>
      <c r="U283" s="96"/>
      <c r="V283" s="96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N283" s="104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W16:X24 R16:R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S16:T24 Y16:Y24 AG16:AH24 P16:Q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W25:X33 R25:R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W34:X42 R34:R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W43:X51 R43:R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46" sqref="I46:I47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9" t="str">
        <f>IF(ACOMPANHAMENTO="BM","MEMÓRIA DE CÁLCULO","PLQ - PLANILHA DE LEVANTAMENTO DE QUANTIDADES")</f>
        <v>MEMÓRIA DE CÁLCULO</v>
      </c>
      <c r="G1" s="709"/>
      <c r="H1" s="709"/>
      <c r="I1" s="179"/>
      <c r="K1" s="179"/>
      <c r="L1" s="179"/>
      <c r="M1" s="180"/>
      <c r="N1" s="179"/>
      <c r="P1" s="179"/>
      <c r="Q1" s="688" t="s">
        <v>139</v>
      </c>
      <c r="R1" s="688"/>
      <c r="Y1" s="688" t="s">
        <v>139</v>
      </c>
      <c r="Z1" s="688"/>
    </row>
    <row r="2" spans="1:59" ht="15" customHeight="1" x14ac:dyDescent="0.2">
      <c r="F2" s="710" t="str">
        <f>IF(ACOMPANHAMENTO="BM","","Memória de Cálculo")&amp;" - "&amp;import.recurso</f>
        <v xml:space="preserve"> - (SELECIONAR)</v>
      </c>
      <c r="G2" s="710"/>
      <c r="H2" s="710"/>
      <c r="I2" s="181"/>
      <c r="K2" s="181"/>
      <c r="L2" s="181"/>
      <c r="M2" s="182"/>
      <c r="N2" s="181"/>
      <c r="P2" s="181"/>
      <c r="Q2" s="689" t="s">
        <v>142</v>
      </c>
      <c r="R2" s="689"/>
      <c r="Y2" s="689" t="s">
        <v>142</v>
      </c>
      <c r="Z2" s="689"/>
    </row>
    <row r="3" spans="1:59" ht="12.75" customHeight="1" x14ac:dyDescent="0.2"/>
    <row r="4" spans="1:59" ht="12.75" customHeight="1" x14ac:dyDescent="0.2">
      <c r="E4" s="684" t="s">
        <v>201</v>
      </c>
      <c r="F4" s="684"/>
      <c r="G4" s="684" t="s">
        <v>438</v>
      </c>
      <c r="H4" s="684"/>
      <c r="I4" s="111" t="s">
        <v>439</v>
      </c>
      <c r="K4" s="183" t="s">
        <v>146</v>
      </c>
      <c r="L4" s="184"/>
      <c r="M4" s="184"/>
      <c r="N4" s="184"/>
      <c r="O4" s="184"/>
      <c r="P4" s="184"/>
      <c r="Q4" s="184"/>
      <c r="R4" s="185"/>
      <c r="S4" s="684" t="s">
        <v>145</v>
      </c>
      <c r="T4" s="684"/>
      <c r="U4" s="684" t="s">
        <v>146</v>
      </c>
      <c r="V4" s="684"/>
      <c r="W4" s="684"/>
      <c r="X4" s="684"/>
      <c r="Y4" s="684"/>
      <c r="Z4" s="684"/>
    </row>
    <row r="5" spans="1:59" ht="12.75" customHeight="1" x14ac:dyDescent="0.2">
      <c r="E5" s="687" t="str">
        <f>Import.Apelido</f>
        <v>PAÇO MUNICIPAL</v>
      </c>
      <c r="F5" s="687"/>
      <c r="G5" s="687">
        <f>Import.SICONV</f>
        <v>0</v>
      </c>
      <c r="H5" s="687"/>
      <c r="I5" s="117">
        <f>Import.CR</f>
        <v>0</v>
      </c>
      <c r="K5" s="186" t="str">
        <f>Import.Proponente</f>
        <v>MUNICIPIO DE CÉU AZUL</v>
      </c>
      <c r="L5" s="187"/>
      <c r="M5" s="129"/>
      <c r="N5" s="187"/>
      <c r="O5" s="187"/>
      <c r="P5" s="187"/>
      <c r="Q5" s="187"/>
      <c r="R5" s="118"/>
      <c r="S5" s="687">
        <f>Import.CR</f>
        <v>0</v>
      </c>
      <c r="T5" s="687"/>
      <c r="U5" s="687" t="str">
        <f>Import.Proponente</f>
        <v>MUNICIPIO DE CÉU AZUL</v>
      </c>
      <c r="V5" s="687"/>
      <c r="W5" s="687"/>
      <c r="X5" s="687"/>
      <c r="Y5" s="687"/>
      <c r="Z5" s="687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8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89"/>
      <c r="I12" s="190"/>
      <c r="J12" s="191" t="s">
        <v>254</v>
      </c>
      <c r="K12" s="192" t="s">
        <v>255</v>
      </c>
      <c r="L12" s="191" t="s">
        <v>254</v>
      </c>
      <c r="M12" s="193">
        <f>IF(ACOMPANHAMENTO="BM",0,COUNTIF(M15:M266,0))</f>
        <v>0</v>
      </c>
      <c r="N12" s="190" t="s">
        <v>256</v>
      </c>
      <c r="O12" s="194"/>
      <c r="P12" s="191" t="s">
        <v>254</v>
      </c>
      <c r="Q12" s="591" t="s">
        <v>447</v>
      </c>
      <c r="R12" s="194" t="s">
        <v>448</v>
      </c>
      <c r="S12" s="194" t="s">
        <v>449</v>
      </c>
      <c r="T12" s="194"/>
      <c r="U12" s="194"/>
      <c r="V12" s="194"/>
      <c r="W12" s="194"/>
      <c r="X12" s="194"/>
      <c r="Y12" s="194"/>
      <c r="Z12" s="195"/>
      <c r="AA12" s="191" t="s">
        <v>254</v>
      </c>
      <c r="AB12" s="196" t="str">
        <f ca="1">OFFSET($P$12,0,AB$13)</f>
        <v>META 01</v>
      </c>
      <c r="AC12" s="197" t="str">
        <f t="shared" ref="AC12:AK12" ca="1" si="0">OFFSET($P$12,0,AC$13)</f>
        <v>META 02</v>
      </c>
      <c r="AD12" s="197" t="str">
        <f t="shared" ca="1" si="0"/>
        <v>META 03</v>
      </c>
      <c r="AE12" s="197">
        <f t="shared" ca="1" si="0"/>
        <v>0</v>
      </c>
      <c r="AF12" s="197">
        <f t="shared" ca="1" si="0"/>
        <v>0</v>
      </c>
      <c r="AG12" s="197">
        <f t="shared" ca="1" si="0"/>
        <v>0</v>
      </c>
      <c r="AH12" s="197">
        <f t="shared" ca="1" si="0"/>
        <v>0</v>
      </c>
      <c r="AI12" s="197">
        <f t="shared" ca="1" si="0"/>
        <v>0</v>
      </c>
      <c r="AJ12" s="197">
        <f t="shared" ca="1" si="0"/>
        <v>0</v>
      </c>
      <c r="AK12" s="198">
        <f t="shared" ca="1" si="0"/>
        <v>0</v>
      </c>
      <c r="AM12" s="196" t="str">
        <f ca="1">OFFSET($P$12,0,AM$13)</f>
        <v>META 01</v>
      </c>
      <c r="AN12" s="197" t="str">
        <f t="shared" ref="AN12:AV12" ca="1" si="1">OFFSET($P$12,0,AN$13)</f>
        <v>META 02</v>
      </c>
      <c r="AO12" s="197" t="str">
        <f t="shared" ca="1" si="1"/>
        <v>META 03</v>
      </c>
      <c r="AP12" s="197">
        <f t="shared" ca="1" si="1"/>
        <v>0</v>
      </c>
      <c r="AQ12" s="197">
        <f t="shared" ca="1" si="1"/>
        <v>0</v>
      </c>
      <c r="AR12" s="197">
        <f t="shared" ca="1" si="1"/>
        <v>0</v>
      </c>
      <c r="AS12" s="197">
        <f t="shared" ca="1" si="1"/>
        <v>0</v>
      </c>
      <c r="AT12" s="197">
        <f t="shared" ca="1" si="1"/>
        <v>0</v>
      </c>
      <c r="AU12" s="197">
        <f t="shared" ca="1" si="1"/>
        <v>0</v>
      </c>
      <c r="AV12" s="198">
        <f t="shared" ca="1" si="1"/>
        <v>0</v>
      </c>
      <c r="AX12" s="196" t="str">
        <f ca="1">OFFSET($P$12,0,AX$13)</f>
        <v>META 01</v>
      </c>
      <c r="AY12" s="197" t="str">
        <f t="shared" ref="AY12:BG12" ca="1" si="2">OFFSET($P$12,0,AY$13)</f>
        <v>META 02</v>
      </c>
      <c r="AZ12" s="197" t="str">
        <f t="shared" ca="1" si="2"/>
        <v>META 03</v>
      </c>
      <c r="BA12" s="197">
        <f t="shared" ca="1" si="2"/>
        <v>0</v>
      </c>
      <c r="BB12" s="197">
        <f t="shared" ca="1" si="2"/>
        <v>0</v>
      </c>
      <c r="BC12" s="197">
        <f t="shared" ca="1" si="2"/>
        <v>0</v>
      </c>
      <c r="BD12" s="197">
        <f t="shared" ca="1" si="2"/>
        <v>0</v>
      </c>
      <c r="BE12" s="197">
        <f t="shared" ca="1" si="2"/>
        <v>0</v>
      </c>
      <c r="BF12" s="197">
        <f t="shared" ca="1" si="2"/>
        <v>0</v>
      </c>
      <c r="BG12" s="198">
        <f t="shared" ca="1" si="2"/>
        <v>0</v>
      </c>
    </row>
    <row r="13" spans="1:59" ht="12.75" customHeight="1" x14ac:dyDescent="0.2">
      <c r="A13" s="199" t="s">
        <v>257</v>
      </c>
      <c r="B13" s="9" t="s">
        <v>253</v>
      </c>
      <c r="D13" s="136" t="s">
        <v>228</v>
      </c>
      <c r="E13" s="136" t="s">
        <v>230</v>
      </c>
      <c r="F13" s="136" t="s">
        <v>233</v>
      </c>
      <c r="G13" s="138" t="s">
        <v>234</v>
      </c>
      <c r="H13" s="136" t="s">
        <v>202</v>
      </c>
      <c r="I13" s="136" t="s">
        <v>258</v>
      </c>
      <c r="K13" s="136" t="s">
        <v>259</v>
      </c>
      <c r="L13" s="191"/>
      <c r="M13" s="136" t="s">
        <v>260</v>
      </c>
      <c r="N13" s="136" t="s">
        <v>261</v>
      </c>
      <c r="O13" s="200" t="e">
        <f ca="1">OFFSET(O13,0,-1)+1</f>
        <v>#VALUE!</v>
      </c>
      <c r="Q13" s="201">
        <f t="shared" ref="Q13:Z13" ca="1" si="3">OFFSET(Q13,0,-1)+1</f>
        <v>1</v>
      </c>
      <c r="R13" s="200">
        <f t="shared" ca="1" si="3"/>
        <v>2</v>
      </c>
      <c r="S13" s="200">
        <f t="shared" ca="1" si="3"/>
        <v>3</v>
      </c>
      <c r="T13" s="200">
        <f t="shared" ca="1" si="3"/>
        <v>4</v>
      </c>
      <c r="U13" s="200">
        <f t="shared" ca="1" si="3"/>
        <v>5</v>
      </c>
      <c r="V13" s="200">
        <f t="shared" ca="1" si="3"/>
        <v>6</v>
      </c>
      <c r="W13" s="200">
        <f t="shared" ca="1" si="3"/>
        <v>7</v>
      </c>
      <c r="X13" s="200">
        <f t="shared" ca="1" si="3"/>
        <v>8</v>
      </c>
      <c r="Y13" s="200">
        <f t="shared" ca="1" si="3"/>
        <v>9</v>
      </c>
      <c r="Z13" s="202">
        <f t="shared" ca="1" si="3"/>
        <v>10</v>
      </c>
      <c r="AB13" s="142">
        <f t="shared" ref="AB13:BG13" ca="1" si="4">OFFSET(AB13,0,-1)+1</f>
        <v>1</v>
      </c>
      <c r="AC13" s="203">
        <f t="shared" ca="1" si="4"/>
        <v>2</v>
      </c>
      <c r="AD13" s="203">
        <f t="shared" ca="1" si="4"/>
        <v>3</v>
      </c>
      <c r="AE13" s="203">
        <f t="shared" ca="1" si="4"/>
        <v>4</v>
      </c>
      <c r="AF13" s="203">
        <f t="shared" ca="1" si="4"/>
        <v>5</v>
      </c>
      <c r="AG13" s="203">
        <f t="shared" ca="1" si="4"/>
        <v>6</v>
      </c>
      <c r="AH13" s="203">
        <f t="shared" ca="1" si="4"/>
        <v>7</v>
      </c>
      <c r="AI13" s="203">
        <f t="shared" ca="1" si="4"/>
        <v>8</v>
      </c>
      <c r="AJ13" s="203">
        <f t="shared" ca="1" si="4"/>
        <v>9</v>
      </c>
      <c r="AK13" s="204">
        <f t="shared" ca="1" si="4"/>
        <v>10</v>
      </c>
      <c r="AM13" s="142">
        <f t="shared" ca="1" si="4"/>
        <v>1</v>
      </c>
      <c r="AN13" s="203">
        <f t="shared" ca="1" si="4"/>
        <v>2</v>
      </c>
      <c r="AO13" s="203">
        <f t="shared" ca="1" si="4"/>
        <v>3</v>
      </c>
      <c r="AP13" s="203">
        <f t="shared" ca="1" si="4"/>
        <v>4</v>
      </c>
      <c r="AQ13" s="203">
        <f t="shared" ca="1" si="4"/>
        <v>5</v>
      </c>
      <c r="AR13" s="203">
        <f t="shared" ca="1" si="4"/>
        <v>6</v>
      </c>
      <c r="AS13" s="203">
        <f t="shared" ca="1" si="4"/>
        <v>7</v>
      </c>
      <c r="AT13" s="203">
        <f t="shared" ca="1" si="4"/>
        <v>8</v>
      </c>
      <c r="AU13" s="203">
        <f t="shared" ca="1" si="4"/>
        <v>9</v>
      </c>
      <c r="AV13" s="204">
        <f t="shared" ca="1" si="4"/>
        <v>10</v>
      </c>
      <c r="AX13" s="142">
        <f t="shared" ca="1" si="4"/>
        <v>1</v>
      </c>
      <c r="AY13" s="203">
        <f t="shared" ca="1" si="4"/>
        <v>2</v>
      </c>
      <c r="AZ13" s="203">
        <f t="shared" ca="1" si="4"/>
        <v>3</v>
      </c>
      <c r="BA13" s="203">
        <f t="shared" ca="1" si="4"/>
        <v>4</v>
      </c>
      <c r="BB13" s="203">
        <f t="shared" ca="1" si="4"/>
        <v>5</v>
      </c>
      <c r="BC13" s="203">
        <f t="shared" ca="1" si="4"/>
        <v>6</v>
      </c>
      <c r="BD13" s="203">
        <f t="shared" ca="1" si="4"/>
        <v>7</v>
      </c>
      <c r="BE13" s="203">
        <f t="shared" ca="1" si="4"/>
        <v>8</v>
      </c>
      <c r="BF13" s="203">
        <f t="shared" ca="1" si="4"/>
        <v>9</v>
      </c>
      <c r="BG13" s="204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5" t="str">
        <f ca="1">OFFSET(ORÇAMENTO!N$15,ROW(D14)-ROW(D$15),0)</f>
        <v>Serviço</v>
      </c>
      <c r="E14" s="205" t="str">
        <f ca="1">OFFSET(ORÇAMENTO!O$15,ROW(E14)-ROW(E$15),0)</f>
        <v>-</v>
      </c>
      <c r="F14" s="206" t="str">
        <f ca="1">OFFSET(ORÇAMENTO!R$15,ROW(F14)-ROW(F$15),0)</f>
        <v>(abra o arquivo 'Referência 05-2023.xls)</v>
      </c>
      <c r="G14" s="207" t="str">
        <f ca="1">IF($D14&lt;&gt;"Serviço","",OFFSET(ORÇAMENTO!S$15,ROW(G14)-ROW(G$15),0))</f>
        <v>-</v>
      </c>
      <c r="H14" s="151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1"/>
      <c r="K14" s="208"/>
      <c r="L14" s="209" t="s">
        <v>254</v>
      </c>
      <c r="M14" s="210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1" t="e">
        <f ca="1">IF($D14&lt;&gt;"Serviço","",IF(AUTOEVENTO="Manual",IF($A14=0,"&lt;-- defina o número do agrupador",OFFSET(EVENTOS!$D$14,$A14,0)),OFFSET($F$15,$A14,0)))</f>
        <v>#VALUE!</v>
      </c>
      <c r="O14" s="212"/>
      <c r="Q14" s="212"/>
      <c r="R14" s="213"/>
      <c r="S14" s="213"/>
      <c r="T14" s="213"/>
      <c r="U14" s="213"/>
      <c r="V14" s="213"/>
      <c r="W14" s="213"/>
      <c r="X14" s="213"/>
      <c r="Y14" s="213"/>
      <c r="Z14" s="214"/>
      <c r="AB14" s="592">
        <f ca="1">IF(AND($D14="Serviço",AB$12&lt;&gt;0,$H14&gt;0,OR(AUTOEVENTO&lt;&gt;"manual",$M14&lt;&gt;1)),ROUND(OFFSET($P14,0,AB$13),15-13*ORÇAMENTO!$AF$7)/$H14*OFFSET(ORÇAMENTO!$X$15,ROW(AB14)-ROW(AB$15),0),0)</f>
        <v>0</v>
      </c>
      <c r="AC14" s="593">
        <f ca="1">IF(AND($D14="Serviço",AC$12&lt;&gt;0,$H14&gt;0,OR(AUTOEVENTO&lt;&gt;"manual",$M14&lt;&gt;1)),ROUND(OFFSET($P14,0,AC$13),15-13*ORÇAMENTO!$AF$7)/$H14*OFFSET(ORÇAMENTO!$X$15,ROW(AC14)-ROW(AC$15),0),0)</f>
        <v>0</v>
      </c>
      <c r="AD14" s="593">
        <f ca="1">IF(AND($D14="Serviço",AD$12&lt;&gt;0,$H14&gt;0,OR(AUTOEVENTO&lt;&gt;"manual",$M14&lt;&gt;1)),ROUND(OFFSET($P14,0,AD$13),15-13*ORÇAMENTO!$AF$7)/$H14*OFFSET(ORÇAMENTO!$X$15,ROW(AD14)-ROW(AD$15),0),0)</f>
        <v>0</v>
      </c>
      <c r="AE14" s="593">
        <f ca="1">IF(AND($D14="Serviço",AE$12&lt;&gt;0,$H14&gt;0,OR(AUTOEVENTO&lt;&gt;"manual",$M14&lt;&gt;1)),ROUND(OFFSET($P14,0,AE$13),15-13*ORÇAMENTO!$AF$7)/$H14*OFFSET(ORÇAMENTO!$X$15,ROW(AE14)-ROW(AE$15),0),0)</f>
        <v>0</v>
      </c>
      <c r="AF14" s="593">
        <f ca="1">IF(AND($D14="Serviço",AF$12&lt;&gt;0,$H14&gt;0,OR(AUTOEVENTO&lt;&gt;"manual",$M14&lt;&gt;1)),ROUND(OFFSET($P14,0,AF$13),15-13*ORÇAMENTO!$AF$7)/$H14*OFFSET(ORÇAMENTO!$X$15,ROW(AF14)-ROW(AF$15),0),0)</f>
        <v>0</v>
      </c>
      <c r="AG14" s="593">
        <f ca="1">IF(AND($D14="Serviço",AG$12&lt;&gt;0,$H14&gt;0,OR(AUTOEVENTO&lt;&gt;"manual",$M14&lt;&gt;1)),ROUND(OFFSET($P14,0,AG$13),15-13*ORÇAMENTO!$AF$7)/$H14*OFFSET(ORÇAMENTO!$X$15,ROW(AG14)-ROW(AG$15),0),0)</f>
        <v>0</v>
      </c>
      <c r="AH14" s="593">
        <f ca="1">IF(AND($D14="Serviço",AH$12&lt;&gt;0,$H14&gt;0,OR(AUTOEVENTO&lt;&gt;"manual",$M14&lt;&gt;1)),ROUND(OFFSET($P14,0,AH$13),15-13*ORÇAMENTO!$AF$7)/$H14*OFFSET(ORÇAMENTO!$X$15,ROW(AH14)-ROW(AH$15),0),0)</f>
        <v>0</v>
      </c>
      <c r="AI14" s="593">
        <f ca="1">IF(AND($D14="Serviço",AI$12&lt;&gt;0,$H14&gt;0,OR(AUTOEVENTO&lt;&gt;"manual",$M14&lt;&gt;1)),ROUND(OFFSET($P14,0,AI$13),15-13*ORÇAMENTO!$AF$7)/$H14*OFFSET(ORÇAMENTO!$X$15,ROW(AI14)-ROW(AI$15),0),0)</f>
        <v>0</v>
      </c>
      <c r="AJ14" s="593">
        <f ca="1">IF(AND($D14="Serviço",AJ$12&lt;&gt;0,$H14&gt;0,OR(AUTOEVENTO&lt;&gt;"manual",$M14&lt;&gt;1)),ROUND(OFFSET($P14,0,AJ$13),15-13*ORÇAMENTO!$AF$7)/$H14*OFFSET(ORÇAMENTO!$X$15,ROW(AJ14)-ROW(AJ$15),0),0)</f>
        <v>0</v>
      </c>
      <c r="AK14" s="594">
        <f ca="1">IF(AND($D14="Serviço",AK$12&lt;&gt;0,$H14&gt;0,OR(AUTOEVENTO&lt;&gt;"manual",$M14&lt;&gt;1)),ROUND(OFFSET($P14,0,AK$13),15-13*ORÇAMENTO!$AF$7)/$H14*OFFSET(ORÇAMENTO!$X$15,ROW(AK14)-ROW(AK$15),0),0)</f>
        <v>0</v>
      </c>
      <c r="AM14" s="215" t="e">
        <f ca="1">IF($D14&lt;&gt;"Serviço",0,IF(AND(AUTOEVENTO="Manual",$M14=1),0,IF(OFFSET(CRONOPLE!$F$14,$M14,AM$13)="",10^12,OFFSET(CRONOPLE!$F$14,$M14,AM$13))))</f>
        <v>#VALUE!</v>
      </c>
      <c r="AN14" s="215" t="e">
        <f ca="1">IF($D14&lt;&gt;"Serviço",0,IF(AND(AUTOEVENTO="Manual",$M14=1),0,IF(OFFSET(CRONOPLE!$F$14,$M14,AN$13)="",10^12,OFFSET(CRONOPLE!$F$14,$M14,AN$13))))</f>
        <v>#VALUE!</v>
      </c>
      <c r="AO14" s="215" t="e">
        <f ca="1">IF($D14&lt;&gt;"Serviço",0,IF(AND(AUTOEVENTO="Manual",$M14=1),0,IF(OFFSET(CRONOPLE!$F$14,$M14,AO$13)="",10^12,OFFSET(CRONOPLE!$F$14,$M14,AO$13))))</f>
        <v>#VALUE!</v>
      </c>
      <c r="AP14" s="215" t="e">
        <f ca="1">IF($D14&lt;&gt;"Serviço",0,IF(AND(AUTOEVENTO="Manual",$M14=1),0,IF(OFFSET(CRONOPLE!$F$14,$M14,AP$13)="",10^12,OFFSET(CRONOPLE!$F$14,$M14,AP$13))))</f>
        <v>#VALUE!</v>
      </c>
      <c r="AQ14" s="215" t="e">
        <f ca="1">IF($D14&lt;&gt;"Serviço",0,IF(AND(AUTOEVENTO="Manual",$M14=1),0,IF(OFFSET(CRONOPLE!$F$14,$M14,AQ$13)="",10^12,OFFSET(CRONOPLE!$F$14,$M14,AQ$13))))</f>
        <v>#VALUE!</v>
      </c>
      <c r="AR14" s="215" t="e">
        <f ca="1">IF($D14&lt;&gt;"Serviço",0,IF(AND(AUTOEVENTO="Manual",$M14=1),0,IF(OFFSET(CRONOPLE!$F$14,$M14,AR$13)="",10^12,OFFSET(CRONOPLE!$F$14,$M14,AR$13))))</f>
        <v>#VALUE!</v>
      </c>
      <c r="AS14" s="215" t="e">
        <f ca="1">IF($D14&lt;&gt;"Serviço",0,IF(AND(AUTOEVENTO="Manual",$M14=1),0,IF(OFFSET(CRONOPLE!$F$14,$M14,AS$13)="",10^12,OFFSET(CRONOPLE!$F$14,$M14,AS$13))))</f>
        <v>#VALUE!</v>
      </c>
      <c r="AT14" s="215" t="e">
        <f ca="1">IF($D14&lt;&gt;"Serviço",0,IF(AND(AUTOEVENTO="Manual",$M14=1),0,IF(OFFSET(CRONOPLE!$F$14,$M14,AT$13)="",10^12,OFFSET(CRONOPLE!$F$14,$M14,AT$13))))</f>
        <v>#VALUE!</v>
      </c>
      <c r="AU14" s="215" t="e">
        <f ca="1">IF($D14&lt;&gt;"Serviço",0,IF(AND(AUTOEVENTO="Manual",$M14=1),0,IF(OFFSET(CRONOPLE!$F$14,$M14,AU$13)="",10^12,OFFSET(CRONOPLE!$F$14,$M14,AU$13))))</f>
        <v>#VALUE!</v>
      </c>
      <c r="AV14" s="215" t="e">
        <f ca="1">IF($D14&lt;&gt;"Serviço",0,IF(AND(AUTOEVENTO="Manual",$M14=1),0,IF(OFFSET(CRONOPLE!$F$14,$M14,AV$13)="",10^12,OFFSET(CRONOPLE!$F$14,$M14,AV$13))))</f>
        <v>#VALUE!</v>
      </c>
      <c r="AX14" s="216">
        <f ca="1">IF($D14&lt;&gt;"Serviço",0,IF(OR(AND(AUTOEVENTO="Manual",$M14=1),$M14&gt;(ROW(PLE.lastrow)-ROW(PLE.firstrow))),0,IF(OFFSET(PLE!$G$14,$M14,AX$13)="",10^12,OFFSET(PLE!$G$14,$M14,AX$13))))</f>
        <v>0</v>
      </c>
      <c r="AY14" s="216">
        <f ca="1">IF($D14&lt;&gt;"Serviço",0,IF(OR(AND(AUTOEVENTO="Manual",$M14=1),$M14&gt;(ROW(PLE.lastrow)-ROW(PLE.firstrow))),0,IF(OFFSET(PLE!$G$14,$M14,AY$13)="",10^12,OFFSET(PLE!$G$14,$M14,AY$13))))</f>
        <v>0</v>
      </c>
      <c r="AZ14" s="216">
        <f ca="1">IF($D14&lt;&gt;"Serviço",0,IF(OR(AND(AUTOEVENTO="Manual",$M14=1),$M14&gt;(ROW(PLE.lastrow)-ROW(PLE.firstrow))),0,IF(OFFSET(PLE!$G$14,$M14,AZ$13)="",10^12,OFFSET(PLE!$G$14,$M14,AZ$13))))</f>
        <v>0</v>
      </c>
      <c r="BA14" s="216">
        <f ca="1">IF($D14&lt;&gt;"Serviço",0,IF(OR(AND(AUTOEVENTO="Manual",$M14=1),$M14&gt;(ROW(PLE.lastrow)-ROW(PLE.firstrow))),0,IF(OFFSET(PLE!$G$14,$M14,BA$13)="",10^12,OFFSET(PLE!$G$14,$M14,BA$13))))</f>
        <v>0</v>
      </c>
      <c r="BB14" s="216">
        <f ca="1">IF($D14&lt;&gt;"Serviço",0,IF(OR(AND(AUTOEVENTO="Manual",$M14=1),$M14&gt;(ROW(PLE.lastrow)-ROW(PLE.firstrow))),0,IF(OFFSET(PLE!$G$14,$M14,BB$13)="",10^12,OFFSET(PLE!$G$14,$M14,BB$13))))</f>
        <v>0</v>
      </c>
      <c r="BC14" s="216">
        <f ca="1">IF($D14&lt;&gt;"Serviço",0,IF(OR(AND(AUTOEVENTO="Manual",$M14=1),$M14&gt;(ROW(PLE.lastrow)-ROW(PLE.firstrow))),0,IF(OFFSET(PLE!$G$14,$M14,BC$13)="",10^12,OFFSET(PLE!$G$14,$M14,BC$13))))</f>
        <v>0</v>
      </c>
      <c r="BD14" s="216">
        <f ca="1">IF($D14&lt;&gt;"Serviço",0,IF(OR(AND(AUTOEVENTO="Manual",$M14=1),$M14&gt;(ROW(PLE.lastrow)-ROW(PLE.firstrow))),0,IF(OFFSET(PLE!$G$14,$M14,BD$13)="",10^12,OFFSET(PLE!$G$14,$M14,BD$13))))</f>
        <v>0</v>
      </c>
      <c r="BE14" s="216">
        <f ca="1">IF($D14&lt;&gt;"Serviço",0,IF(OR(AND(AUTOEVENTO="Manual",$M14=1),$M14&gt;(ROW(PLE.lastrow)-ROW(PLE.firstrow))),0,IF(OFFSET(PLE!$G$14,$M14,BE$13)="",10^12,OFFSET(PLE!$G$14,$M14,BE$13))))</f>
        <v>0</v>
      </c>
      <c r="BF14" s="216">
        <f ca="1">IF($D14&lt;&gt;"Serviço",0,IF(OR(AND(AUTOEVENTO="Manual",$M14=1),$M14&gt;(ROW(PLE.lastrow)-ROW(PLE.firstrow))),0,IF(OFFSET(PLE!$G$14,$M14,BF$13)="",10^12,OFFSET(PLE!$G$14,$M14,BF$13))))</f>
        <v>0</v>
      </c>
      <c r="BG14" s="216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0" t="str">
        <f>IF(TIPOORCAMENTO="LICITADO","CTEF","LOTE")</f>
        <v>LOTE</v>
      </c>
      <c r="E15" s="708" t="str">
        <f>Import.DescLote</f>
        <v>REFORMA DO PAÇO MUNICIPAL</v>
      </c>
      <c r="F15" s="708"/>
      <c r="G15" s="708"/>
      <c r="H15" s="708"/>
      <c r="I15" s="612"/>
      <c r="K15" s="217"/>
      <c r="L15" s="209" t="s">
        <v>254</v>
      </c>
      <c r="M15" s="218">
        <f ca="1">IF(AUTOEVENTO="MANUAL",0,1)</f>
        <v>1</v>
      </c>
      <c r="N15" s="219" t="s">
        <v>262</v>
      </c>
      <c r="O15" s="220" t="e">
        <f ca="1">OFFSET($AA$15,0,O$13)</f>
        <v>#VALUE!</v>
      </c>
      <c r="Q15" s="221">
        <f t="shared" ref="Q15:Z15" ca="1" si="5">OFFSET($AA$15,0,Q$13)</f>
        <v>95638.14</v>
      </c>
      <c r="R15" s="220">
        <f t="shared" ca="1" si="5"/>
        <v>0</v>
      </c>
      <c r="S15" s="220">
        <f t="shared" ca="1" si="5"/>
        <v>0</v>
      </c>
      <c r="T15" s="220">
        <f t="shared" ca="1" si="5"/>
        <v>0</v>
      </c>
      <c r="U15" s="220">
        <f t="shared" ca="1" si="5"/>
        <v>0</v>
      </c>
      <c r="V15" s="220">
        <f t="shared" ca="1" si="5"/>
        <v>0</v>
      </c>
      <c r="W15" s="220">
        <f t="shared" ca="1" si="5"/>
        <v>0</v>
      </c>
      <c r="X15" s="220">
        <f t="shared" ca="1" si="5"/>
        <v>0</v>
      </c>
      <c r="Y15" s="220">
        <f t="shared" ca="1" si="5"/>
        <v>0</v>
      </c>
      <c r="Z15" s="222">
        <f t="shared" ca="1" si="5"/>
        <v>0</v>
      </c>
      <c r="AB15" s="223">
        <f ca="1">ROUND(SUM(OFFSET(AB$15,1,0):AB$266),2)</f>
        <v>95638.14</v>
      </c>
      <c r="AC15" s="223">
        <f ca="1">SUM(OFFSET(AC$15,1,0):AC$266)</f>
        <v>0</v>
      </c>
      <c r="AD15" s="223">
        <f ca="1">SUM(OFFSET(AD$15,1,0):AD$266)</f>
        <v>0</v>
      </c>
      <c r="AE15" s="223">
        <f ca="1">SUM(OFFSET(AE$15,1,0):AE$266)</f>
        <v>0</v>
      </c>
      <c r="AF15" s="223">
        <f ca="1">SUM(OFFSET(AF$15,1,0):AF$266)</f>
        <v>0</v>
      </c>
      <c r="AG15" s="223">
        <f ca="1">SUM(OFFSET(AG$15,1,0):AG$266)</f>
        <v>0</v>
      </c>
      <c r="AH15" s="223">
        <f ca="1">SUM(OFFSET(AH$15,1,0):AH$266)</f>
        <v>0</v>
      </c>
      <c r="AI15" s="223">
        <f ca="1">SUM(OFFSET(AI$15,1,0):AI$266)</f>
        <v>0</v>
      </c>
      <c r="AJ15" s="223">
        <f ca="1">SUM(OFFSET(AJ$15,1,0):AJ$266)</f>
        <v>0</v>
      </c>
      <c r="AK15" s="223">
        <f ca="1">SUM(OFFSET(AK$15,1,0):AK$266)</f>
        <v>0</v>
      </c>
      <c r="AM15" s="224">
        <f>10^12</f>
        <v>1000000000000</v>
      </c>
      <c r="AN15" s="224">
        <f t="shared" ref="AN15:AV15" si="6">10^12</f>
        <v>1000000000000</v>
      </c>
      <c r="AO15" s="224">
        <f t="shared" si="6"/>
        <v>1000000000000</v>
      </c>
      <c r="AP15" s="224">
        <f t="shared" si="6"/>
        <v>1000000000000</v>
      </c>
      <c r="AQ15" s="224">
        <f t="shared" si="6"/>
        <v>1000000000000</v>
      </c>
      <c r="AR15" s="224">
        <f t="shared" si="6"/>
        <v>1000000000000</v>
      </c>
      <c r="AS15" s="224">
        <f t="shared" si="6"/>
        <v>1000000000000</v>
      </c>
      <c r="AT15" s="224">
        <f t="shared" si="6"/>
        <v>1000000000000</v>
      </c>
      <c r="AU15" s="224">
        <f t="shared" si="6"/>
        <v>1000000000000</v>
      </c>
      <c r="AV15" s="224">
        <f t="shared" si="6"/>
        <v>1000000000000</v>
      </c>
      <c r="AX15" s="224">
        <f t="shared" ref="AX15:BG15" si="7">10^12</f>
        <v>1000000000000</v>
      </c>
      <c r="AY15" s="224">
        <f t="shared" si="7"/>
        <v>1000000000000</v>
      </c>
      <c r="AZ15" s="224">
        <f t="shared" si="7"/>
        <v>1000000000000</v>
      </c>
      <c r="BA15" s="224">
        <f t="shared" si="7"/>
        <v>1000000000000</v>
      </c>
      <c r="BB15" s="224">
        <f t="shared" si="7"/>
        <v>1000000000000</v>
      </c>
      <c r="BC15" s="224">
        <f t="shared" si="7"/>
        <v>1000000000000</v>
      </c>
      <c r="BD15" s="224">
        <f t="shared" si="7"/>
        <v>1000000000000</v>
      </c>
      <c r="BE15" s="224">
        <f t="shared" si="7"/>
        <v>1000000000000</v>
      </c>
      <c r="BF15" s="224">
        <f t="shared" si="7"/>
        <v>1000000000000</v>
      </c>
      <c r="BG15" s="224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5" t="str">
        <f ca="1">OFFSET(ORÇAMENTO!N$15,ROW(D16)-ROW(D$15),0)</f>
        <v>Meta</v>
      </c>
      <c r="E16" s="205" t="str">
        <f ca="1">OFFSET(ORÇAMENTO!O$15,ROW(E16)-ROW(E$15),0)</f>
        <v>1.</v>
      </c>
      <c r="F16" s="206" t="str">
        <f ca="1">OFFSET(ORÇAMENTO!R$15,ROW(F16)-ROW(F$15),0)</f>
        <v>(REFORMA DO PREDIO PREFEITURA MUNICIPAL</v>
      </c>
      <c r="G16" s="207" t="str">
        <f ca="1">IF($D16&lt;&gt;"Serviço","",OFFSET(ORÇAMENTO!S$15,ROW(G16)-ROW(G$15),0))</f>
        <v/>
      </c>
      <c r="H16" s="151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1"/>
      <c r="K16" s="208"/>
      <c r="L16" s="209" t="s">
        <v>254</v>
      </c>
      <c r="M16" s="210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1" t="str">
        <f ca="1">IF($D16&lt;&gt;"Serviço","",IF(AUTOEVENTO="Manual",IF($A16=0,"&lt;-- defina o número do agrupador",OFFSET(EVENTOS!$D$14,$A16,0)),OFFSET($F$15,$A16,0)))</f>
        <v/>
      </c>
      <c r="O16" s="212"/>
      <c r="Q16" s="212"/>
      <c r="R16" s="213"/>
      <c r="S16" s="213"/>
      <c r="T16" s="213"/>
      <c r="U16" s="213"/>
      <c r="V16" s="213"/>
      <c r="W16" s="213"/>
      <c r="X16" s="213"/>
      <c r="Y16" s="213"/>
      <c r="Z16" s="214"/>
      <c r="AB16" s="592">
        <f ca="1">IF(AND($D16="Serviço",AB$12&lt;&gt;0,$H16&gt;0,OR(AUTOEVENTO&lt;&gt;"manual",$M16&lt;&gt;1)),ROUND(OFFSET($P16,0,AB$13),15-13*ORÇAMENTO!$AF$7)/$H16*OFFSET(ORÇAMENTO!$X$15,ROW(AB16)-ROW(AB$15),0),0)</f>
        <v>0</v>
      </c>
      <c r="AC16" s="593">
        <f ca="1">IF(AND($D16="Serviço",AC$12&lt;&gt;0,$H16&gt;0,OR(AUTOEVENTO&lt;&gt;"manual",$M16&lt;&gt;1)),ROUND(OFFSET($P16,0,AC$13),15-13*ORÇAMENTO!$AF$7)/$H16*OFFSET(ORÇAMENTO!$X$15,ROW(AC16)-ROW(AC$15),0),0)</f>
        <v>0</v>
      </c>
      <c r="AD16" s="593">
        <f ca="1">IF(AND($D16="Serviço",AD$12&lt;&gt;0,$H16&gt;0,OR(AUTOEVENTO&lt;&gt;"manual",$M16&lt;&gt;1)),ROUND(OFFSET($P16,0,AD$13),15-13*ORÇAMENTO!$AF$7)/$H16*OFFSET(ORÇAMENTO!$X$15,ROW(AD16)-ROW(AD$15),0),0)</f>
        <v>0</v>
      </c>
      <c r="AE16" s="593">
        <f ca="1">IF(AND($D16="Serviço",AE$12&lt;&gt;0,$H16&gt;0,OR(AUTOEVENTO&lt;&gt;"manual",$M16&lt;&gt;1)),ROUND(OFFSET($P16,0,AE$13),15-13*ORÇAMENTO!$AF$7)/$H16*OFFSET(ORÇAMENTO!$X$15,ROW(AE16)-ROW(AE$15),0),0)</f>
        <v>0</v>
      </c>
      <c r="AF16" s="593">
        <f ca="1">IF(AND($D16="Serviço",AF$12&lt;&gt;0,$H16&gt;0,OR(AUTOEVENTO&lt;&gt;"manual",$M16&lt;&gt;1)),ROUND(OFFSET($P16,0,AF$13),15-13*ORÇAMENTO!$AF$7)/$H16*OFFSET(ORÇAMENTO!$X$15,ROW(AF16)-ROW(AF$15),0),0)</f>
        <v>0</v>
      </c>
      <c r="AG16" s="593">
        <f ca="1">IF(AND($D16="Serviço",AG$12&lt;&gt;0,$H16&gt;0,OR(AUTOEVENTO&lt;&gt;"manual",$M16&lt;&gt;1)),ROUND(OFFSET($P16,0,AG$13),15-13*ORÇAMENTO!$AF$7)/$H16*OFFSET(ORÇAMENTO!$X$15,ROW(AG16)-ROW(AG$15),0),0)</f>
        <v>0</v>
      </c>
      <c r="AH16" s="593">
        <f ca="1">IF(AND($D16="Serviço",AH$12&lt;&gt;0,$H16&gt;0,OR(AUTOEVENTO&lt;&gt;"manual",$M16&lt;&gt;1)),ROUND(OFFSET($P16,0,AH$13),15-13*ORÇAMENTO!$AF$7)/$H16*OFFSET(ORÇAMENTO!$X$15,ROW(AH16)-ROW(AH$15),0),0)</f>
        <v>0</v>
      </c>
      <c r="AI16" s="593">
        <f ca="1">IF(AND($D16="Serviço",AI$12&lt;&gt;0,$H16&gt;0,OR(AUTOEVENTO&lt;&gt;"manual",$M16&lt;&gt;1)),ROUND(OFFSET($P16,0,AI$13),15-13*ORÇAMENTO!$AF$7)/$H16*OFFSET(ORÇAMENTO!$X$15,ROW(AI16)-ROW(AI$15),0),0)</f>
        <v>0</v>
      </c>
      <c r="AJ16" s="593">
        <f ca="1">IF(AND($D16="Serviço",AJ$12&lt;&gt;0,$H16&gt;0,OR(AUTOEVENTO&lt;&gt;"manual",$M16&lt;&gt;1)),ROUND(OFFSET($P16,0,AJ$13),15-13*ORÇAMENTO!$AF$7)/$H16*OFFSET(ORÇAMENTO!$X$15,ROW(AJ16)-ROW(AJ$15),0),0)</f>
        <v>0</v>
      </c>
      <c r="AK16" s="594">
        <f ca="1">IF(AND($D16="Serviço",AK$12&lt;&gt;0,$H16&gt;0,OR(AUTOEVENTO&lt;&gt;"manual",$M16&lt;&gt;1)),ROUND(OFFSET($P16,0,AK$13),15-13*ORÇAMENTO!$AF$7)/$H16*OFFSET(ORÇAMENTO!$X$15,ROW(AK16)-ROW(AK$15),0),0)</f>
        <v>0</v>
      </c>
      <c r="AM16" s="215">
        <f ca="1">IF($D16&lt;&gt;"Serviço",0,IF(AND(AUTOEVENTO="Manual",$M16=1),0,IF(OFFSET(CRONOPLE!$F$14,$M16,AM$13)="",10^12,OFFSET(CRONOPLE!$F$14,$M16,AM$13))))</f>
        <v>0</v>
      </c>
      <c r="AN16" s="215">
        <f ca="1">IF($D16&lt;&gt;"Serviço",0,IF(AND(AUTOEVENTO="Manual",$M16=1),0,IF(OFFSET(CRONOPLE!$F$14,$M16,AN$13)="",10^12,OFFSET(CRONOPLE!$F$14,$M16,AN$13))))</f>
        <v>0</v>
      </c>
      <c r="AO16" s="215">
        <f ca="1">IF($D16&lt;&gt;"Serviço",0,IF(AND(AUTOEVENTO="Manual",$M16=1),0,IF(OFFSET(CRONOPLE!$F$14,$M16,AO$13)="",10^12,OFFSET(CRONOPLE!$F$14,$M16,AO$13))))</f>
        <v>0</v>
      </c>
      <c r="AP16" s="215">
        <f ca="1">IF($D16&lt;&gt;"Serviço",0,IF(AND(AUTOEVENTO="Manual",$M16=1),0,IF(OFFSET(CRONOPLE!$F$14,$M16,AP$13)="",10^12,OFFSET(CRONOPLE!$F$14,$M16,AP$13))))</f>
        <v>0</v>
      </c>
      <c r="AQ16" s="215">
        <f ca="1">IF($D16&lt;&gt;"Serviço",0,IF(AND(AUTOEVENTO="Manual",$M16=1),0,IF(OFFSET(CRONOPLE!$F$14,$M16,AQ$13)="",10^12,OFFSET(CRONOPLE!$F$14,$M16,AQ$13))))</f>
        <v>0</v>
      </c>
      <c r="AR16" s="215">
        <f ca="1">IF($D16&lt;&gt;"Serviço",0,IF(AND(AUTOEVENTO="Manual",$M16=1),0,IF(OFFSET(CRONOPLE!$F$14,$M16,AR$13)="",10^12,OFFSET(CRONOPLE!$F$14,$M16,AR$13))))</f>
        <v>0</v>
      </c>
      <c r="AS16" s="215">
        <f ca="1">IF($D16&lt;&gt;"Serviço",0,IF(AND(AUTOEVENTO="Manual",$M16=1),0,IF(OFFSET(CRONOPLE!$F$14,$M16,AS$13)="",10^12,OFFSET(CRONOPLE!$F$14,$M16,AS$13))))</f>
        <v>0</v>
      </c>
      <c r="AT16" s="215">
        <f ca="1">IF($D16&lt;&gt;"Serviço",0,IF(AND(AUTOEVENTO="Manual",$M16=1),0,IF(OFFSET(CRONOPLE!$F$14,$M16,AT$13)="",10^12,OFFSET(CRONOPLE!$F$14,$M16,AT$13))))</f>
        <v>0</v>
      </c>
      <c r="AU16" s="215">
        <f ca="1">IF($D16&lt;&gt;"Serviço",0,IF(AND(AUTOEVENTO="Manual",$M16=1),0,IF(OFFSET(CRONOPLE!$F$14,$M16,AU$13)="",10^12,OFFSET(CRONOPLE!$F$14,$M16,AU$13))))</f>
        <v>0</v>
      </c>
      <c r="AV16" s="215">
        <f ca="1">IF($D16&lt;&gt;"Serviço",0,IF(AND(AUTOEVENTO="Manual",$M16=1),0,IF(OFFSET(CRONOPLE!$F$14,$M16,AV$13)="",10^12,OFFSET(CRONOPLE!$F$14,$M16,AV$13))))</f>
        <v>0</v>
      </c>
      <c r="AX16" s="216">
        <f ca="1">IF($D16&lt;&gt;"Serviço",0,IF(OR(AND(AUTOEVENTO="Manual",$M16=1),$M16&gt;(ROW(PLE.lastrow)-ROW(PLE.firstrow))),0,IF(OFFSET(PLE!$G$14,$M16,AX$13)="",10^12,OFFSET(PLE!$G$14,$M16,AX$13))))</f>
        <v>0</v>
      </c>
      <c r="AY16" s="216">
        <f ca="1">IF($D16&lt;&gt;"Serviço",0,IF(OR(AND(AUTOEVENTO="Manual",$M16=1),$M16&gt;(ROW(PLE.lastrow)-ROW(PLE.firstrow))),0,IF(OFFSET(PLE!$G$14,$M16,AY$13)="",10^12,OFFSET(PLE!$G$14,$M16,AY$13))))</f>
        <v>0</v>
      </c>
      <c r="AZ16" s="216">
        <f ca="1">IF($D16&lt;&gt;"Serviço",0,IF(OR(AND(AUTOEVENTO="Manual",$M16=1),$M16&gt;(ROW(PLE.lastrow)-ROW(PLE.firstrow))),0,IF(OFFSET(PLE!$G$14,$M16,AZ$13)="",10^12,OFFSET(PLE!$G$14,$M16,AZ$13))))</f>
        <v>0</v>
      </c>
      <c r="BA16" s="216">
        <f ca="1">IF($D16&lt;&gt;"Serviço",0,IF(OR(AND(AUTOEVENTO="Manual",$M16=1),$M16&gt;(ROW(PLE.lastrow)-ROW(PLE.firstrow))),0,IF(OFFSET(PLE!$G$14,$M16,BA$13)="",10^12,OFFSET(PLE!$G$14,$M16,BA$13))))</f>
        <v>0</v>
      </c>
      <c r="BB16" s="216">
        <f ca="1">IF($D16&lt;&gt;"Serviço",0,IF(OR(AND(AUTOEVENTO="Manual",$M16=1),$M16&gt;(ROW(PLE.lastrow)-ROW(PLE.firstrow))),0,IF(OFFSET(PLE!$G$14,$M16,BB$13)="",10^12,OFFSET(PLE!$G$14,$M16,BB$13))))</f>
        <v>0</v>
      </c>
      <c r="BC16" s="216">
        <f ca="1">IF($D16&lt;&gt;"Serviço",0,IF(OR(AND(AUTOEVENTO="Manual",$M16=1),$M16&gt;(ROW(PLE.lastrow)-ROW(PLE.firstrow))),0,IF(OFFSET(PLE!$G$14,$M16,BC$13)="",10^12,OFFSET(PLE!$G$14,$M16,BC$13))))</f>
        <v>0</v>
      </c>
      <c r="BD16" s="216">
        <f ca="1">IF($D16&lt;&gt;"Serviço",0,IF(OR(AND(AUTOEVENTO="Manual",$M16=1),$M16&gt;(ROW(PLE.lastrow)-ROW(PLE.firstrow))),0,IF(OFFSET(PLE!$G$14,$M16,BD$13)="",10^12,OFFSET(PLE!$G$14,$M16,BD$13))))</f>
        <v>0</v>
      </c>
      <c r="BE16" s="216">
        <f ca="1">IF($D16&lt;&gt;"Serviço",0,IF(OR(AND(AUTOEVENTO="Manual",$M16=1),$M16&gt;(ROW(PLE.lastrow)-ROW(PLE.firstrow))),0,IF(OFFSET(PLE!$G$14,$M16,BE$13)="",10^12,OFFSET(PLE!$G$14,$M16,BE$13))))</f>
        <v>0</v>
      </c>
      <c r="BF16" s="216">
        <f ca="1">IF($D16&lt;&gt;"Serviço",0,IF(OR(AND(AUTOEVENTO="Manual",$M16=1),$M16&gt;(ROW(PLE.lastrow)-ROW(PLE.firstrow))),0,IF(OFFSET(PLE!$G$14,$M16,BF$13)="",10^12,OFFSET(PLE!$G$14,$M16,BF$13))))</f>
        <v>0</v>
      </c>
      <c r="BG16" s="216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5" t="str">
        <f ca="1">OFFSET(ORÇAMENTO!N$15,ROW(D17)-ROW(D$15),0)</f>
        <v>Nível 2</v>
      </c>
      <c r="E17" s="205" t="str">
        <f ca="1">OFFSET(ORÇAMENTO!O$15,ROW(E17)-ROW(E$15),0)</f>
        <v>1.1.</v>
      </c>
      <c r="F17" s="206" t="str">
        <f ca="1">OFFSET(ORÇAMENTO!R$15,ROW(F17)-ROW(F$15),0)</f>
        <v>SERVIÇOS PRELIMINARES</v>
      </c>
      <c r="G17" s="207" t="str">
        <f ca="1">IF($D17&lt;&gt;"Serviço","",OFFSET(ORÇAMENTO!S$15,ROW(G17)-ROW(G$15),0))</f>
        <v/>
      </c>
      <c r="H17" s="151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1"/>
      <c r="K17" s="208"/>
      <c r="L17" s="209" t="s">
        <v>254</v>
      </c>
      <c r="M17" s="210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1" t="str">
        <f ca="1">IF($D17&lt;&gt;"Serviço","",IF(AUTOEVENTO="Manual",IF($A17=0,"&lt;-- defina o número do agrupador",OFFSET(EVENTOS!$D$14,$A17,0)),OFFSET($F$15,$A17,0)))</f>
        <v/>
      </c>
      <c r="O17" s="212"/>
      <c r="Q17" s="212"/>
      <c r="R17" s="213"/>
      <c r="S17" s="213"/>
      <c r="T17" s="213"/>
      <c r="U17" s="213"/>
      <c r="V17" s="213"/>
      <c r="W17" s="213"/>
      <c r="X17" s="213"/>
      <c r="Y17" s="213"/>
      <c r="Z17" s="214"/>
      <c r="AB17" s="592">
        <f ca="1">IF(AND($D17="Serviço",AB$12&lt;&gt;0,$H17&gt;0,OR(AUTOEVENTO&lt;&gt;"manual",$M17&lt;&gt;1)),ROUND(OFFSET($P17,0,AB$13),15-13*ORÇAMENTO!$AF$7)/$H17*OFFSET(ORÇAMENTO!$X$15,ROW(AB17)-ROW(AB$15),0),0)</f>
        <v>0</v>
      </c>
      <c r="AC17" s="593">
        <f ca="1">IF(AND($D17="Serviço",AC$12&lt;&gt;0,$H17&gt;0,OR(AUTOEVENTO&lt;&gt;"manual",$M17&lt;&gt;1)),ROUND(OFFSET($P17,0,AC$13),15-13*ORÇAMENTO!$AF$7)/$H17*OFFSET(ORÇAMENTO!$X$15,ROW(AC17)-ROW(AC$15),0),0)</f>
        <v>0</v>
      </c>
      <c r="AD17" s="593">
        <f ca="1">IF(AND($D17="Serviço",AD$12&lt;&gt;0,$H17&gt;0,OR(AUTOEVENTO&lt;&gt;"manual",$M17&lt;&gt;1)),ROUND(OFFSET($P17,0,AD$13),15-13*ORÇAMENTO!$AF$7)/$H17*OFFSET(ORÇAMENTO!$X$15,ROW(AD17)-ROW(AD$15),0),0)</f>
        <v>0</v>
      </c>
      <c r="AE17" s="593">
        <f ca="1">IF(AND($D17="Serviço",AE$12&lt;&gt;0,$H17&gt;0,OR(AUTOEVENTO&lt;&gt;"manual",$M17&lt;&gt;1)),ROUND(OFFSET($P17,0,AE$13),15-13*ORÇAMENTO!$AF$7)/$H17*OFFSET(ORÇAMENTO!$X$15,ROW(AE17)-ROW(AE$15),0),0)</f>
        <v>0</v>
      </c>
      <c r="AF17" s="593">
        <f ca="1">IF(AND($D17="Serviço",AF$12&lt;&gt;0,$H17&gt;0,OR(AUTOEVENTO&lt;&gt;"manual",$M17&lt;&gt;1)),ROUND(OFFSET($P17,0,AF$13),15-13*ORÇAMENTO!$AF$7)/$H17*OFFSET(ORÇAMENTO!$X$15,ROW(AF17)-ROW(AF$15),0),0)</f>
        <v>0</v>
      </c>
      <c r="AG17" s="593">
        <f ca="1">IF(AND($D17="Serviço",AG$12&lt;&gt;0,$H17&gt;0,OR(AUTOEVENTO&lt;&gt;"manual",$M17&lt;&gt;1)),ROUND(OFFSET($P17,0,AG$13),15-13*ORÇAMENTO!$AF$7)/$H17*OFFSET(ORÇAMENTO!$X$15,ROW(AG17)-ROW(AG$15),0),0)</f>
        <v>0</v>
      </c>
      <c r="AH17" s="593">
        <f ca="1">IF(AND($D17="Serviço",AH$12&lt;&gt;0,$H17&gt;0,OR(AUTOEVENTO&lt;&gt;"manual",$M17&lt;&gt;1)),ROUND(OFFSET($P17,0,AH$13),15-13*ORÇAMENTO!$AF$7)/$H17*OFFSET(ORÇAMENTO!$X$15,ROW(AH17)-ROW(AH$15),0),0)</f>
        <v>0</v>
      </c>
      <c r="AI17" s="593">
        <f ca="1">IF(AND($D17="Serviço",AI$12&lt;&gt;0,$H17&gt;0,OR(AUTOEVENTO&lt;&gt;"manual",$M17&lt;&gt;1)),ROUND(OFFSET($P17,0,AI$13),15-13*ORÇAMENTO!$AF$7)/$H17*OFFSET(ORÇAMENTO!$X$15,ROW(AI17)-ROW(AI$15),0),0)</f>
        <v>0</v>
      </c>
      <c r="AJ17" s="593">
        <f ca="1">IF(AND($D17="Serviço",AJ$12&lt;&gt;0,$H17&gt;0,OR(AUTOEVENTO&lt;&gt;"manual",$M17&lt;&gt;1)),ROUND(OFFSET($P17,0,AJ$13),15-13*ORÇAMENTO!$AF$7)/$H17*OFFSET(ORÇAMENTO!$X$15,ROW(AJ17)-ROW(AJ$15),0),0)</f>
        <v>0</v>
      </c>
      <c r="AK17" s="594">
        <f ca="1">IF(AND($D17="Serviço",AK$12&lt;&gt;0,$H17&gt;0,OR(AUTOEVENTO&lt;&gt;"manual",$M17&lt;&gt;1)),ROUND(OFFSET($P17,0,AK$13),15-13*ORÇAMENTO!$AF$7)/$H17*OFFSET(ORÇAMENTO!$X$15,ROW(AK17)-ROW(AK$15),0),0)</f>
        <v>0</v>
      </c>
      <c r="AM17" s="215">
        <f ca="1">IF($D17&lt;&gt;"Serviço",0,IF(AND(AUTOEVENTO="Manual",$M17=1),0,IF(OFFSET(CRONOPLE!$F$14,$M17,AM$13)="",10^12,OFFSET(CRONOPLE!$F$14,$M17,AM$13))))</f>
        <v>0</v>
      </c>
      <c r="AN17" s="215">
        <f ca="1">IF($D17&lt;&gt;"Serviço",0,IF(AND(AUTOEVENTO="Manual",$M17=1),0,IF(OFFSET(CRONOPLE!$F$14,$M17,AN$13)="",10^12,OFFSET(CRONOPLE!$F$14,$M17,AN$13))))</f>
        <v>0</v>
      </c>
      <c r="AO17" s="215">
        <f ca="1">IF($D17&lt;&gt;"Serviço",0,IF(AND(AUTOEVENTO="Manual",$M17=1),0,IF(OFFSET(CRONOPLE!$F$14,$M17,AO$13)="",10^12,OFFSET(CRONOPLE!$F$14,$M17,AO$13))))</f>
        <v>0</v>
      </c>
      <c r="AP17" s="215">
        <f ca="1">IF($D17&lt;&gt;"Serviço",0,IF(AND(AUTOEVENTO="Manual",$M17=1),0,IF(OFFSET(CRONOPLE!$F$14,$M17,AP$13)="",10^12,OFFSET(CRONOPLE!$F$14,$M17,AP$13))))</f>
        <v>0</v>
      </c>
      <c r="AQ17" s="215">
        <f ca="1">IF($D17&lt;&gt;"Serviço",0,IF(AND(AUTOEVENTO="Manual",$M17=1),0,IF(OFFSET(CRONOPLE!$F$14,$M17,AQ$13)="",10^12,OFFSET(CRONOPLE!$F$14,$M17,AQ$13))))</f>
        <v>0</v>
      </c>
      <c r="AR17" s="215">
        <f ca="1">IF($D17&lt;&gt;"Serviço",0,IF(AND(AUTOEVENTO="Manual",$M17=1),0,IF(OFFSET(CRONOPLE!$F$14,$M17,AR$13)="",10^12,OFFSET(CRONOPLE!$F$14,$M17,AR$13))))</f>
        <v>0</v>
      </c>
      <c r="AS17" s="215">
        <f ca="1">IF($D17&lt;&gt;"Serviço",0,IF(AND(AUTOEVENTO="Manual",$M17=1),0,IF(OFFSET(CRONOPLE!$F$14,$M17,AS$13)="",10^12,OFFSET(CRONOPLE!$F$14,$M17,AS$13))))</f>
        <v>0</v>
      </c>
      <c r="AT17" s="215">
        <f ca="1">IF($D17&lt;&gt;"Serviço",0,IF(AND(AUTOEVENTO="Manual",$M17=1),0,IF(OFFSET(CRONOPLE!$F$14,$M17,AT$13)="",10^12,OFFSET(CRONOPLE!$F$14,$M17,AT$13))))</f>
        <v>0</v>
      </c>
      <c r="AU17" s="215">
        <f ca="1">IF($D17&lt;&gt;"Serviço",0,IF(AND(AUTOEVENTO="Manual",$M17=1),0,IF(OFFSET(CRONOPLE!$F$14,$M17,AU$13)="",10^12,OFFSET(CRONOPLE!$F$14,$M17,AU$13))))</f>
        <v>0</v>
      </c>
      <c r="AV17" s="215">
        <f ca="1">IF($D17&lt;&gt;"Serviço",0,IF(AND(AUTOEVENTO="Manual",$M17=1),0,IF(OFFSET(CRONOPLE!$F$14,$M17,AV$13)="",10^12,OFFSET(CRONOPLE!$F$14,$M17,AV$13))))</f>
        <v>0</v>
      </c>
      <c r="AX17" s="216">
        <f ca="1">IF($D17&lt;&gt;"Serviço",0,IF(OR(AND(AUTOEVENTO="Manual",$M17=1),$M17&gt;(ROW(PLE.lastrow)-ROW(PLE.firstrow))),0,IF(OFFSET(PLE!$G$14,$M17,AX$13)="",10^12,OFFSET(PLE!$G$14,$M17,AX$13))))</f>
        <v>0</v>
      </c>
      <c r="AY17" s="216">
        <f ca="1">IF($D17&lt;&gt;"Serviço",0,IF(OR(AND(AUTOEVENTO="Manual",$M17=1),$M17&gt;(ROW(PLE.lastrow)-ROW(PLE.firstrow))),0,IF(OFFSET(PLE!$G$14,$M17,AY$13)="",10^12,OFFSET(PLE!$G$14,$M17,AY$13))))</f>
        <v>0</v>
      </c>
      <c r="AZ17" s="216">
        <f ca="1">IF($D17&lt;&gt;"Serviço",0,IF(OR(AND(AUTOEVENTO="Manual",$M17=1),$M17&gt;(ROW(PLE.lastrow)-ROW(PLE.firstrow))),0,IF(OFFSET(PLE!$G$14,$M17,AZ$13)="",10^12,OFFSET(PLE!$G$14,$M17,AZ$13))))</f>
        <v>0</v>
      </c>
      <c r="BA17" s="216">
        <f ca="1">IF($D17&lt;&gt;"Serviço",0,IF(OR(AND(AUTOEVENTO="Manual",$M17=1),$M17&gt;(ROW(PLE.lastrow)-ROW(PLE.firstrow))),0,IF(OFFSET(PLE!$G$14,$M17,BA$13)="",10^12,OFFSET(PLE!$G$14,$M17,BA$13))))</f>
        <v>0</v>
      </c>
      <c r="BB17" s="216">
        <f ca="1">IF($D17&lt;&gt;"Serviço",0,IF(OR(AND(AUTOEVENTO="Manual",$M17=1),$M17&gt;(ROW(PLE.lastrow)-ROW(PLE.firstrow))),0,IF(OFFSET(PLE!$G$14,$M17,BB$13)="",10^12,OFFSET(PLE!$G$14,$M17,BB$13))))</f>
        <v>0</v>
      </c>
      <c r="BC17" s="216">
        <f ca="1">IF($D17&lt;&gt;"Serviço",0,IF(OR(AND(AUTOEVENTO="Manual",$M17=1),$M17&gt;(ROW(PLE.lastrow)-ROW(PLE.firstrow))),0,IF(OFFSET(PLE!$G$14,$M17,BC$13)="",10^12,OFFSET(PLE!$G$14,$M17,BC$13))))</f>
        <v>0</v>
      </c>
      <c r="BD17" s="216">
        <f ca="1">IF($D17&lt;&gt;"Serviço",0,IF(OR(AND(AUTOEVENTO="Manual",$M17=1),$M17&gt;(ROW(PLE.lastrow)-ROW(PLE.firstrow))),0,IF(OFFSET(PLE!$G$14,$M17,BD$13)="",10^12,OFFSET(PLE!$G$14,$M17,BD$13))))</f>
        <v>0</v>
      </c>
      <c r="BE17" s="216">
        <f ca="1">IF($D17&lt;&gt;"Serviço",0,IF(OR(AND(AUTOEVENTO="Manual",$M17=1),$M17&gt;(ROW(PLE.lastrow)-ROW(PLE.firstrow))),0,IF(OFFSET(PLE!$G$14,$M17,BE$13)="",10^12,OFFSET(PLE!$G$14,$M17,BE$13))))</f>
        <v>0</v>
      </c>
      <c r="BF17" s="216">
        <f ca="1">IF($D17&lt;&gt;"Serviço",0,IF(OR(AND(AUTOEVENTO="Manual",$M17=1),$M17&gt;(ROW(PLE.lastrow)-ROW(PLE.firstrow))),0,IF(OFFSET(PLE!$G$14,$M17,BF$13)="",10^12,OFFSET(PLE!$G$14,$M17,BF$13))))</f>
        <v>0</v>
      </c>
      <c r="BG17" s="216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12.7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/>
      </c>
      <c r="D18" s="145" t="str">
        <f ca="1">OFFSET(ORÇAMENTO!N$15,ROW(D18)-ROW(D$15),0)</f>
        <v>Serviço</v>
      </c>
      <c r="E18" s="205" t="str">
        <f ca="1">OFFSET(ORÇAMENTO!O$15,ROW(E18)-ROW(E$15),0)</f>
        <v>-</v>
      </c>
      <c r="F18" s="206" t="str">
        <f ca="1">OFFSET(ORÇAMENTO!R$15,ROW(F18)-ROW(F$15),0)</f>
        <v>(abra o arquivo 'Referência 05-2023.xls)</v>
      </c>
      <c r="G18" s="207" t="str">
        <f ca="1">IF($D18&lt;&gt;"Serviço","",OFFSET(ORÇAMENTO!S$15,ROW(G18)-ROW(G$15),0))</f>
        <v>-</v>
      </c>
      <c r="H18" s="151">
        <f ca="1">IF($D18&lt;&gt;"Serviço",0,IF(ACOMPANHAMENTO="BM",ROUND(OFFSET(ORÇAMENTO!AJ$15,ROW(H18)-ROW(H$15),0),15-13*ORÇAMENTO!$AF$7),SUMPRODUCT(($Q$12:$AA$12&lt;&gt;"")*ROUND($Q18:$AA18,15-13*ORÇAMENTO!$AF$7))))</f>
        <v>0</v>
      </c>
      <c r="I18" s="611"/>
      <c r="K18" s="208" t="s">
        <v>446</v>
      </c>
      <c r="L18" s="209" t="s">
        <v>254</v>
      </c>
      <c r="M18" s="210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1" t="str">
        <f ca="1">IF($D18&lt;&gt;"Serviço","",IF(AUTOEVENTO="Manual",IF($A18=0,"&lt;-- defina o número do agrupador",OFFSET(EVENTOS!$D$14,$A18,0)),OFFSET($F$15,$A18,0)))</f>
        <v>SERVIÇOS PRELIMINARES</v>
      </c>
      <c r="O18" s="212"/>
      <c r="Q18" s="212"/>
      <c r="R18" s="213"/>
      <c r="S18" s="213"/>
      <c r="T18" s="213"/>
      <c r="U18" s="213"/>
      <c r="V18" s="213"/>
      <c r="W18" s="213"/>
      <c r="X18" s="213"/>
      <c r="Y18" s="213"/>
      <c r="Z18" s="214"/>
      <c r="AB18" s="592">
        <f ca="1">IF(AND($D18="Serviço",AB$12&lt;&gt;0,$H18&gt;0,OR(AUTOEVENTO&lt;&gt;"manual",$M18&lt;&gt;1)),ROUND(OFFSET($P18,0,AB$13),15-13*ORÇAMENTO!$AF$7)/$H18*OFFSET(ORÇAMENTO!$X$15,ROW(AB18)-ROW(AB$15),0),0)</f>
        <v>0</v>
      </c>
      <c r="AC18" s="593">
        <f ca="1">IF(AND($D18="Serviço",AC$12&lt;&gt;0,$H18&gt;0,OR(AUTOEVENTO&lt;&gt;"manual",$M18&lt;&gt;1)),ROUND(OFFSET($P18,0,AC$13),15-13*ORÇAMENTO!$AF$7)/$H18*OFFSET(ORÇAMENTO!$X$15,ROW(AC18)-ROW(AC$15),0),0)</f>
        <v>0</v>
      </c>
      <c r="AD18" s="593">
        <f ca="1">IF(AND($D18="Serviço",AD$12&lt;&gt;0,$H18&gt;0,OR(AUTOEVENTO&lt;&gt;"manual",$M18&lt;&gt;1)),ROUND(OFFSET($P18,0,AD$13),15-13*ORÇAMENTO!$AF$7)/$H18*OFFSET(ORÇAMENTO!$X$15,ROW(AD18)-ROW(AD$15),0),0)</f>
        <v>0</v>
      </c>
      <c r="AE18" s="593">
        <f ca="1">IF(AND($D18="Serviço",AE$12&lt;&gt;0,$H18&gt;0,OR(AUTOEVENTO&lt;&gt;"manual",$M18&lt;&gt;1)),ROUND(OFFSET($P18,0,AE$13),15-13*ORÇAMENTO!$AF$7)/$H18*OFFSET(ORÇAMENTO!$X$15,ROW(AE18)-ROW(AE$15),0),0)</f>
        <v>0</v>
      </c>
      <c r="AF18" s="593">
        <f ca="1">IF(AND($D18="Serviço",AF$12&lt;&gt;0,$H18&gt;0,OR(AUTOEVENTO&lt;&gt;"manual",$M18&lt;&gt;1)),ROUND(OFFSET($P18,0,AF$13),15-13*ORÇAMENTO!$AF$7)/$H18*OFFSET(ORÇAMENTO!$X$15,ROW(AF18)-ROW(AF$15),0),0)</f>
        <v>0</v>
      </c>
      <c r="AG18" s="593">
        <f ca="1">IF(AND($D18="Serviço",AG$12&lt;&gt;0,$H18&gt;0,OR(AUTOEVENTO&lt;&gt;"manual",$M18&lt;&gt;1)),ROUND(OFFSET($P18,0,AG$13),15-13*ORÇAMENTO!$AF$7)/$H18*OFFSET(ORÇAMENTO!$X$15,ROW(AG18)-ROW(AG$15),0),0)</f>
        <v>0</v>
      </c>
      <c r="AH18" s="593">
        <f ca="1">IF(AND($D18="Serviço",AH$12&lt;&gt;0,$H18&gt;0,OR(AUTOEVENTO&lt;&gt;"manual",$M18&lt;&gt;1)),ROUND(OFFSET($P18,0,AH$13),15-13*ORÇAMENTO!$AF$7)/$H18*OFFSET(ORÇAMENTO!$X$15,ROW(AH18)-ROW(AH$15),0),0)</f>
        <v>0</v>
      </c>
      <c r="AI18" s="593">
        <f ca="1">IF(AND($D18="Serviço",AI$12&lt;&gt;0,$H18&gt;0,OR(AUTOEVENTO&lt;&gt;"manual",$M18&lt;&gt;1)),ROUND(OFFSET($P18,0,AI$13),15-13*ORÇAMENTO!$AF$7)/$H18*OFFSET(ORÇAMENTO!$X$15,ROW(AI18)-ROW(AI$15),0),0)</f>
        <v>0</v>
      </c>
      <c r="AJ18" s="593">
        <f ca="1">IF(AND($D18="Serviço",AJ$12&lt;&gt;0,$H18&gt;0,OR(AUTOEVENTO&lt;&gt;"manual",$M18&lt;&gt;1)),ROUND(OFFSET($P18,0,AJ$13),15-13*ORÇAMENTO!$AF$7)/$H18*OFFSET(ORÇAMENTO!$X$15,ROW(AJ18)-ROW(AJ$15),0),0)</f>
        <v>0</v>
      </c>
      <c r="AK18" s="594">
        <f ca="1">IF(AND($D18="Serviço",AK$12&lt;&gt;0,$H18&gt;0,OR(AUTOEVENTO&lt;&gt;"manual",$M18&lt;&gt;1)),ROUND(OFFSET($P18,0,AK$13),15-13*ORÇAMENTO!$AF$7)/$H18*OFFSET(ORÇAMENTO!$X$15,ROW(AK18)-ROW(AK$15),0),0)</f>
        <v>0</v>
      </c>
      <c r="AM18" s="215">
        <f ca="1">IF($D18&lt;&gt;"Serviço",0,IF(AND(AUTOEVENTO="Manual",$M18=1),0,IF(OFFSET(CRONOPLE!$F$14,$M18,AM$13)="",10^12,OFFSET(CRONOPLE!$F$14,$M18,AM$13))))</f>
        <v>1</v>
      </c>
      <c r="AN18" s="215">
        <f ca="1">IF($D18&lt;&gt;"Serviço",0,IF(AND(AUTOEVENTO="Manual",$M18=1),0,IF(OFFSET(CRONOPLE!$F$14,$M18,AN$13)="",10^12,OFFSET(CRONOPLE!$F$14,$M18,AN$13))))</f>
        <v>1000000000000</v>
      </c>
      <c r="AO18" s="215">
        <f ca="1">IF($D18&lt;&gt;"Serviço",0,IF(AND(AUTOEVENTO="Manual",$M18=1),0,IF(OFFSET(CRONOPLE!$F$14,$M18,AO$13)="",10^12,OFFSET(CRONOPLE!$F$14,$M18,AO$13))))</f>
        <v>1000000000000</v>
      </c>
      <c r="AP18" s="215">
        <f ca="1">IF($D18&lt;&gt;"Serviço",0,IF(AND(AUTOEVENTO="Manual",$M18=1),0,IF(OFFSET(CRONOPLE!$F$14,$M18,AP$13)="",10^12,OFFSET(CRONOPLE!$F$14,$M18,AP$13))))</f>
        <v>1000000000000</v>
      </c>
      <c r="AQ18" s="215">
        <f ca="1">IF($D18&lt;&gt;"Serviço",0,IF(AND(AUTOEVENTO="Manual",$M18=1),0,IF(OFFSET(CRONOPLE!$F$14,$M18,AQ$13)="",10^12,OFFSET(CRONOPLE!$F$14,$M18,AQ$13))))</f>
        <v>1000000000000</v>
      </c>
      <c r="AR18" s="215">
        <f ca="1">IF($D18&lt;&gt;"Serviço",0,IF(AND(AUTOEVENTO="Manual",$M18=1),0,IF(OFFSET(CRONOPLE!$F$14,$M18,AR$13)="",10^12,OFFSET(CRONOPLE!$F$14,$M18,AR$13))))</f>
        <v>1000000000000</v>
      </c>
      <c r="AS18" s="215">
        <f ca="1">IF($D18&lt;&gt;"Serviço",0,IF(AND(AUTOEVENTO="Manual",$M18=1),0,IF(OFFSET(CRONOPLE!$F$14,$M18,AS$13)="",10^12,OFFSET(CRONOPLE!$F$14,$M18,AS$13))))</f>
        <v>1000000000000</v>
      </c>
      <c r="AT18" s="215">
        <f ca="1">IF($D18&lt;&gt;"Serviço",0,IF(AND(AUTOEVENTO="Manual",$M18=1),0,IF(OFFSET(CRONOPLE!$F$14,$M18,AT$13)="",10^12,OFFSET(CRONOPLE!$F$14,$M18,AT$13))))</f>
        <v>1000000000000</v>
      </c>
      <c r="AU18" s="215">
        <f ca="1">IF($D18&lt;&gt;"Serviço",0,IF(AND(AUTOEVENTO="Manual",$M18=1),0,IF(OFFSET(CRONOPLE!$F$14,$M18,AU$13)="",10^12,OFFSET(CRONOPLE!$F$14,$M18,AU$13))))</f>
        <v>1000000000000</v>
      </c>
      <c r="AV18" s="215">
        <f ca="1">IF($D18&lt;&gt;"Serviço",0,IF(AND(AUTOEVENTO="Manual",$M18=1),0,IF(OFFSET(CRONOPLE!$F$14,$M18,AV$13)="",10^12,OFFSET(CRONOPLE!$F$14,$M18,AV$13))))</f>
        <v>1000000000000</v>
      </c>
      <c r="AX18" s="216">
        <f ca="1">IF($D18&lt;&gt;"Serviço",0,IF(OR(AND(AUTOEVENTO="Manual",$M18=1),$M18&gt;(ROW(PLE.lastrow)-ROW(PLE.firstrow))),0,IF(OFFSET(PLE!$G$14,$M18,AX$13)="",10^12,OFFSET(PLE!$G$14,$M18,AX$13))))</f>
        <v>1</v>
      </c>
      <c r="AY18" s="216">
        <f ca="1">IF($D18&lt;&gt;"Serviço",0,IF(OR(AND(AUTOEVENTO="Manual",$M18=1),$M18&gt;(ROW(PLE.lastrow)-ROW(PLE.firstrow))),0,IF(OFFSET(PLE!$G$14,$M18,AY$13)="",10^12,OFFSET(PLE!$G$14,$M18,AY$13))))</f>
        <v>1000000000000</v>
      </c>
      <c r="AZ18" s="216">
        <f ca="1">IF($D18&lt;&gt;"Serviço",0,IF(OR(AND(AUTOEVENTO="Manual",$M18=1),$M18&gt;(ROW(PLE.lastrow)-ROW(PLE.firstrow))),0,IF(OFFSET(PLE!$G$14,$M18,AZ$13)="",10^12,OFFSET(PLE!$G$14,$M18,AZ$13))))</f>
        <v>1000000000000</v>
      </c>
      <c r="BA18" s="216">
        <f ca="1">IF($D18&lt;&gt;"Serviço",0,IF(OR(AND(AUTOEVENTO="Manual",$M18=1),$M18&gt;(ROW(PLE.lastrow)-ROW(PLE.firstrow))),0,IF(OFFSET(PLE!$G$14,$M18,BA$13)="",10^12,OFFSET(PLE!$G$14,$M18,BA$13))))</f>
        <v>1000000000000</v>
      </c>
      <c r="BB18" s="216">
        <f ca="1">IF($D18&lt;&gt;"Serviço",0,IF(OR(AND(AUTOEVENTO="Manual",$M18=1),$M18&gt;(ROW(PLE.lastrow)-ROW(PLE.firstrow))),0,IF(OFFSET(PLE!$G$14,$M18,BB$13)="",10^12,OFFSET(PLE!$G$14,$M18,BB$13))))</f>
        <v>1000000000000</v>
      </c>
      <c r="BC18" s="216">
        <f ca="1">IF($D18&lt;&gt;"Serviço",0,IF(OR(AND(AUTOEVENTO="Manual",$M18=1),$M18&gt;(ROW(PLE.lastrow)-ROW(PLE.firstrow))),0,IF(OFFSET(PLE!$G$14,$M18,BC$13)="",10^12,OFFSET(PLE!$G$14,$M18,BC$13))))</f>
        <v>1000000000000</v>
      </c>
      <c r="BD18" s="216">
        <f ca="1">IF($D18&lt;&gt;"Serviço",0,IF(OR(AND(AUTOEVENTO="Manual",$M18=1),$M18&gt;(ROW(PLE.lastrow)-ROW(PLE.firstrow))),0,IF(OFFSET(PLE!$G$14,$M18,BD$13)="",10^12,OFFSET(PLE!$G$14,$M18,BD$13))))</f>
        <v>1000000000000</v>
      </c>
      <c r="BE18" s="216">
        <f ca="1">IF($D18&lt;&gt;"Serviço",0,IF(OR(AND(AUTOEVENTO="Manual",$M18=1),$M18&gt;(ROW(PLE.lastrow)-ROW(PLE.firstrow))),0,IF(OFFSET(PLE!$G$14,$M18,BE$13)="",10^12,OFFSET(PLE!$G$14,$M18,BE$13))))</f>
        <v>1000000000000</v>
      </c>
      <c r="BF18" s="216">
        <f ca="1">IF($D18&lt;&gt;"Serviço",0,IF(OR(AND(AUTOEVENTO="Manual",$M18=1),$M18&gt;(ROW(PLE.lastrow)-ROW(PLE.firstrow))),0,IF(OFFSET(PLE!$G$14,$M18,BF$13)="",10^12,OFFSET(PLE!$G$14,$M18,BF$13))))</f>
        <v>1000000000000</v>
      </c>
      <c r="BG18" s="216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12.7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/>
      </c>
      <c r="D19" s="145" t="str">
        <f ca="1">OFFSET(ORÇAMENTO!N$15,ROW(D19)-ROW(D$15),0)</f>
        <v>Serviço</v>
      </c>
      <c r="E19" s="205" t="str">
        <f ca="1">OFFSET(ORÇAMENTO!O$15,ROW(E19)-ROW(E$15),0)</f>
        <v>-</v>
      </c>
      <c r="F19" s="206" t="str">
        <f ca="1">OFFSET(ORÇAMENTO!R$15,ROW(F19)-ROW(F$15),0)</f>
        <v>(abra o arquivo 'Referência 05-2023.xls)</v>
      </c>
      <c r="G19" s="207" t="str">
        <f ca="1">IF($D19&lt;&gt;"Serviço","",OFFSET(ORÇAMENTO!S$15,ROW(G19)-ROW(G$15),0))</f>
        <v>-</v>
      </c>
      <c r="H19" s="151">
        <f ca="1">IF($D19&lt;&gt;"Serviço",0,IF(ACOMPANHAMENTO="BM",ROUND(OFFSET(ORÇAMENTO!AJ$15,ROW(H19)-ROW(H$15),0),15-13*ORÇAMENTO!$AF$7),SUMPRODUCT(($Q$12:$AA$12&lt;&gt;"")*ROUND($Q19:$AA19,15-13*ORÇAMENTO!$AF$7))))</f>
        <v>0</v>
      </c>
      <c r="I19" s="611"/>
      <c r="K19" s="208"/>
      <c r="L19" s="209" t="s">
        <v>254</v>
      </c>
      <c r="M19" s="210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1" t="str">
        <f ca="1">IF($D19&lt;&gt;"Serviço","",IF(AUTOEVENTO="Manual",IF($A19=0,"&lt;-- defina o número do agrupador",OFFSET(EVENTOS!$D$14,$A19,0)),OFFSET($F$15,$A19,0)))</f>
        <v>SERVIÇOS PRELIMINARES</v>
      </c>
      <c r="O19" s="212"/>
      <c r="Q19" s="212"/>
      <c r="R19" s="213"/>
      <c r="S19" s="213"/>
      <c r="T19" s="213"/>
      <c r="U19" s="213"/>
      <c r="V19" s="213"/>
      <c r="W19" s="213"/>
      <c r="X19" s="213"/>
      <c r="Y19" s="213"/>
      <c r="Z19" s="214"/>
      <c r="AB19" s="592">
        <f ca="1">IF(AND($D19="Serviço",AB$12&lt;&gt;0,$H19&gt;0,OR(AUTOEVENTO&lt;&gt;"manual",$M19&lt;&gt;1)),ROUND(OFFSET($P19,0,AB$13),15-13*ORÇAMENTO!$AF$7)/$H19*OFFSET(ORÇAMENTO!$X$15,ROW(AB19)-ROW(AB$15),0),0)</f>
        <v>0</v>
      </c>
      <c r="AC19" s="593">
        <f ca="1">IF(AND($D19="Serviço",AC$12&lt;&gt;0,$H19&gt;0,OR(AUTOEVENTO&lt;&gt;"manual",$M19&lt;&gt;1)),ROUND(OFFSET($P19,0,AC$13),15-13*ORÇAMENTO!$AF$7)/$H19*OFFSET(ORÇAMENTO!$X$15,ROW(AC19)-ROW(AC$15),0),0)</f>
        <v>0</v>
      </c>
      <c r="AD19" s="593">
        <f ca="1">IF(AND($D19="Serviço",AD$12&lt;&gt;0,$H19&gt;0,OR(AUTOEVENTO&lt;&gt;"manual",$M19&lt;&gt;1)),ROUND(OFFSET($P19,0,AD$13),15-13*ORÇAMENTO!$AF$7)/$H19*OFFSET(ORÇAMENTO!$X$15,ROW(AD19)-ROW(AD$15),0),0)</f>
        <v>0</v>
      </c>
      <c r="AE19" s="593">
        <f ca="1">IF(AND($D19="Serviço",AE$12&lt;&gt;0,$H19&gt;0,OR(AUTOEVENTO&lt;&gt;"manual",$M19&lt;&gt;1)),ROUND(OFFSET($P19,0,AE$13),15-13*ORÇAMENTO!$AF$7)/$H19*OFFSET(ORÇAMENTO!$X$15,ROW(AE19)-ROW(AE$15),0),0)</f>
        <v>0</v>
      </c>
      <c r="AF19" s="593">
        <f ca="1">IF(AND($D19="Serviço",AF$12&lt;&gt;0,$H19&gt;0,OR(AUTOEVENTO&lt;&gt;"manual",$M19&lt;&gt;1)),ROUND(OFFSET($P19,0,AF$13),15-13*ORÇAMENTO!$AF$7)/$H19*OFFSET(ORÇAMENTO!$X$15,ROW(AF19)-ROW(AF$15),0),0)</f>
        <v>0</v>
      </c>
      <c r="AG19" s="593">
        <f ca="1">IF(AND($D19="Serviço",AG$12&lt;&gt;0,$H19&gt;0,OR(AUTOEVENTO&lt;&gt;"manual",$M19&lt;&gt;1)),ROUND(OFFSET($P19,0,AG$13),15-13*ORÇAMENTO!$AF$7)/$H19*OFFSET(ORÇAMENTO!$X$15,ROW(AG19)-ROW(AG$15),0),0)</f>
        <v>0</v>
      </c>
      <c r="AH19" s="593">
        <f ca="1">IF(AND($D19="Serviço",AH$12&lt;&gt;0,$H19&gt;0,OR(AUTOEVENTO&lt;&gt;"manual",$M19&lt;&gt;1)),ROUND(OFFSET($P19,0,AH$13),15-13*ORÇAMENTO!$AF$7)/$H19*OFFSET(ORÇAMENTO!$X$15,ROW(AH19)-ROW(AH$15),0),0)</f>
        <v>0</v>
      </c>
      <c r="AI19" s="593">
        <f ca="1">IF(AND($D19="Serviço",AI$12&lt;&gt;0,$H19&gt;0,OR(AUTOEVENTO&lt;&gt;"manual",$M19&lt;&gt;1)),ROUND(OFFSET($P19,0,AI$13),15-13*ORÇAMENTO!$AF$7)/$H19*OFFSET(ORÇAMENTO!$X$15,ROW(AI19)-ROW(AI$15),0),0)</f>
        <v>0</v>
      </c>
      <c r="AJ19" s="593">
        <f ca="1">IF(AND($D19="Serviço",AJ$12&lt;&gt;0,$H19&gt;0,OR(AUTOEVENTO&lt;&gt;"manual",$M19&lt;&gt;1)),ROUND(OFFSET($P19,0,AJ$13),15-13*ORÇAMENTO!$AF$7)/$H19*OFFSET(ORÇAMENTO!$X$15,ROW(AJ19)-ROW(AJ$15),0),0)</f>
        <v>0</v>
      </c>
      <c r="AK19" s="594">
        <f ca="1">IF(AND($D19="Serviço",AK$12&lt;&gt;0,$H19&gt;0,OR(AUTOEVENTO&lt;&gt;"manual",$M19&lt;&gt;1)),ROUND(OFFSET($P19,0,AK$13),15-13*ORÇAMENTO!$AF$7)/$H19*OFFSET(ORÇAMENTO!$X$15,ROW(AK19)-ROW(AK$15),0),0)</f>
        <v>0</v>
      </c>
      <c r="AM19" s="215">
        <f ca="1">IF($D19&lt;&gt;"Serviço",0,IF(AND(AUTOEVENTO="Manual",$M19=1),0,IF(OFFSET(CRONOPLE!$F$14,$M19,AM$13)="",10^12,OFFSET(CRONOPLE!$F$14,$M19,AM$13))))</f>
        <v>1</v>
      </c>
      <c r="AN19" s="215">
        <f ca="1">IF($D19&lt;&gt;"Serviço",0,IF(AND(AUTOEVENTO="Manual",$M19=1),0,IF(OFFSET(CRONOPLE!$F$14,$M19,AN$13)="",10^12,OFFSET(CRONOPLE!$F$14,$M19,AN$13))))</f>
        <v>1000000000000</v>
      </c>
      <c r="AO19" s="215">
        <f ca="1">IF($D19&lt;&gt;"Serviço",0,IF(AND(AUTOEVENTO="Manual",$M19=1),0,IF(OFFSET(CRONOPLE!$F$14,$M19,AO$13)="",10^12,OFFSET(CRONOPLE!$F$14,$M19,AO$13))))</f>
        <v>1000000000000</v>
      </c>
      <c r="AP19" s="215">
        <f ca="1">IF($D19&lt;&gt;"Serviço",0,IF(AND(AUTOEVENTO="Manual",$M19=1),0,IF(OFFSET(CRONOPLE!$F$14,$M19,AP$13)="",10^12,OFFSET(CRONOPLE!$F$14,$M19,AP$13))))</f>
        <v>1000000000000</v>
      </c>
      <c r="AQ19" s="215">
        <f ca="1">IF($D19&lt;&gt;"Serviço",0,IF(AND(AUTOEVENTO="Manual",$M19=1),0,IF(OFFSET(CRONOPLE!$F$14,$M19,AQ$13)="",10^12,OFFSET(CRONOPLE!$F$14,$M19,AQ$13))))</f>
        <v>1000000000000</v>
      </c>
      <c r="AR19" s="215">
        <f ca="1">IF($D19&lt;&gt;"Serviço",0,IF(AND(AUTOEVENTO="Manual",$M19=1),0,IF(OFFSET(CRONOPLE!$F$14,$M19,AR$13)="",10^12,OFFSET(CRONOPLE!$F$14,$M19,AR$13))))</f>
        <v>1000000000000</v>
      </c>
      <c r="AS19" s="215">
        <f ca="1">IF($D19&lt;&gt;"Serviço",0,IF(AND(AUTOEVENTO="Manual",$M19=1),0,IF(OFFSET(CRONOPLE!$F$14,$M19,AS$13)="",10^12,OFFSET(CRONOPLE!$F$14,$M19,AS$13))))</f>
        <v>1000000000000</v>
      </c>
      <c r="AT19" s="215">
        <f ca="1">IF($D19&lt;&gt;"Serviço",0,IF(AND(AUTOEVENTO="Manual",$M19=1),0,IF(OFFSET(CRONOPLE!$F$14,$M19,AT$13)="",10^12,OFFSET(CRONOPLE!$F$14,$M19,AT$13))))</f>
        <v>1000000000000</v>
      </c>
      <c r="AU19" s="215">
        <f ca="1">IF($D19&lt;&gt;"Serviço",0,IF(AND(AUTOEVENTO="Manual",$M19=1),0,IF(OFFSET(CRONOPLE!$F$14,$M19,AU$13)="",10^12,OFFSET(CRONOPLE!$F$14,$M19,AU$13))))</f>
        <v>1000000000000</v>
      </c>
      <c r="AV19" s="215">
        <f ca="1">IF($D19&lt;&gt;"Serviço",0,IF(AND(AUTOEVENTO="Manual",$M19=1),0,IF(OFFSET(CRONOPLE!$F$14,$M19,AV$13)="",10^12,OFFSET(CRONOPLE!$F$14,$M19,AV$13))))</f>
        <v>1000000000000</v>
      </c>
      <c r="AX19" s="216">
        <f ca="1">IF($D19&lt;&gt;"Serviço",0,IF(OR(AND(AUTOEVENTO="Manual",$M19=1),$M19&gt;(ROW(PLE.lastrow)-ROW(PLE.firstrow))),0,IF(OFFSET(PLE!$G$14,$M19,AX$13)="",10^12,OFFSET(PLE!$G$14,$M19,AX$13))))</f>
        <v>1</v>
      </c>
      <c r="AY19" s="216">
        <f ca="1">IF($D19&lt;&gt;"Serviço",0,IF(OR(AND(AUTOEVENTO="Manual",$M19=1),$M19&gt;(ROW(PLE.lastrow)-ROW(PLE.firstrow))),0,IF(OFFSET(PLE!$G$14,$M19,AY$13)="",10^12,OFFSET(PLE!$G$14,$M19,AY$13))))</f>
        <v>1000000000000</v>
      </c>
      <c r="AZ19" s="216">
        <f ca="1">IF($D19&lt;&gt;"Serviço",0,IF(OR(AND(AUTOEVENTO="Manual",$M19=1),$M19&gt;(ROW(PLE.lastrow)-ROW(PLE.firstrow))),0,IF(OFFSET(PLE!$G$14,$M19,AZ$13)="",10^12,OFFSET(PLE!$G$14,$M19,AZ$13))))</f>
        <v>1000000000000</v>
      </c>
      <c r="BA19" s="216">
        <f ca="1">IF($D19&lt;&gt;"Serviço",0,IF(OR(AND(AUTOEVENTO="Manual",$M19=1),$M19&gt;(ROW(PLE.lastrow)-ROW(PLE.firstrow))),0,IF(OFFSET(PLE!$G$14,$M19,BA$13)="",10^12,OFFSET(PLE!$G$14,$M19,BA$13))))</f>
        <v>1000000000000</v>
      </c>
      <c r="BB19" s="216">
        <f ca="1">IF($D19&lt;&gt;"Serviço",0,IF(OR(AND(AUTOEVENTO="Manual",$M19=1),$M19&gt;(ROW(PLE.lastrow)-ROW(PLE.firstrow))),0,IF(OFFSET(PLE!$G$14,$M19,BB$13)="",10^12,OFFSET(PLE!$G$14,$M19,BB$13))))</f>
        <v>1000000000000</v>
      </c>
      <c r="BC19" s="216">
        <f ca="1">IF($D19&lt;&gt;"Serviço",0,IF(OR(AND(AUTOEVENTO="Manual",$M19=1),$M19&gt;(ROW(PLE.lastrow)-ROW(PLE.firstrow))),0,IF(OFFSET(PLE!$G$14,$M19,BC$13)="",10^12,OFFSET(PLE!$G$14,$M19,BC$13))))</f>
        <v>1000000000000</v>
      </c>
      <c r="BD19" s="216">
        <f ca="1">IF($D19&lt;&gt;"Serviço",0,IF(OR(AND(AUTOEVENTO="Manual",$M19=1),$M19&gt;(ROW(PLE.lastrow)-ROW(PLE.firstrow))),0,IF(OFFSET(PLE!$G$14,$M19,BD$13)="",10^12,OFFSET(PLE!$G$14,$M19,BD$13))))</f>
        <v>1000000000000</v>
      </c>
      <c r="BE19" s="216">
        <f ca="1">IF($D19&lt;&gt;"Serviço",0,IF(OR(AND(AUTOEVENTO="Manual",$M19=1),$M19&gt;(ROW(PLE.lastrow)-ROW(PLE.firstrow))),0,IF(OFFSET(PLE!$G$14,$M19,BE$13)="",10^12,OFFSET(PLE!$G$14,$M19,BE$13))))</f>
        <v>1000000000000</v>
      </c>
      <c r="BF19" s="216">
        <f ca="1">IF($D19&lt;&gt;"Serviço",0,IF(OR(AND(AUTOEVENTO="Manual",$M19=1),$M19&gt;(ROW(PLE.lastrow)-ROW(PLE.firstrow))),0,IF(OFFSET(PLE!$G$14,$M19,BF$13)="",10^12,OFFSET(PLE!$G$14,$M19,BF$13))))</f>
        <v>1000000000000</v>
      </c>
      <c r="BG19" s="216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5" t="str">
        <f ca="1">OFFSET(ORÇAMENTO!N$15,ROW(D20)-ROW(D$15),0)</f>
        <v>Serviço</v>
      </c>
      <c r="E20" s="205" t="str">
        <f ca="1">OFFSET(ORÇAMENTO!O$15,ROW(E20)-ROW(E$15),0)</f>
        <v>-</v>
      </c>
      <c r="F20" s="206" t="str">
        <f ca="1">OFFSET(ORÇAMENTO!R$15,ROW(F20)-ROW(F$15),0)</f>
        <v>(abra o arquivo 'Referência 05-2023.xls)</v>
      </c>
      <c r="G20" s="207" t="str">
        <f ca="1">IF($D20&lt;&gt;"Serviço","",OFFSET(ORÇAMENTO!S$15,ROW(G20)-ROW(G$15),0))</f>
        <v>-</v>
      </c>
      <c r="H20" s="151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1"/>
      <c r="K20" s="208"/>
      <c r="L20" s="209" t="s">
        <v>254</v>
      </c>
      <c r="M20" s="210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1" t="str">
        <f ca="1">IF($D20&lt;&gt;"Serviço","",IF(AUTOEVENTO="Manual",IF($A20=0,"&lt;-- defina o número do agrupador",OFFSET(EVENTOS!$D$14,$A20,0)),OFFSET($F$15,$A20,0)))</f>
        <v>SERVIÇOS PRELIMINARES</v>
      </c>
      <c r="O20" s="212"/>
      <c r="Q20" s="212"/>
      <c r="R20" s="213"/>
      <c r="S20" s="213"/>
      <c r="T20" s="213"/>
      <c r="U20" s="213"/>
      <c r="V20" s="213"/>
      <c r="W20" s="213"/>
      <c r="X20" s="213"/>
      <c r="Y20" s="213"/>
      <c r="Z20" s="214"/>
      <c r="AB20" s="592">
        <f ca="1">IF(AND($D20="Serviço",AB$12&lt;&gt;0,$H20&gt;0,OR(AUTOEVENTO&lt;&gt;"manual",$M20&lt;&gt;1)),ROUND(OFFSET($P20,0,AB$13),15-13*ORÇAMENTO!$AF$7)/$H20*OFFSET(ORÇAMENTO!$X$15,ROW(AB20)-ROW(AB$15),0),0)</f>
        <v>0</v>
      </c>
      <c r="AC20" s="593">
        <f ca="1">IF(AND($D20="Serviço",AC$12&lt;&gt;0,$H20&gt;0,OR(AUTOEVENTO&lt;&gt;"manual",$M20&lt;&gt;1)),ROUND(OFFSET($P20,0,AC$13),15-13*ORÇAMENTO!$AF$7)/$H20*OFFSET(ORÇAMENTO!$X$15,ROW(AC20)-ROW(AC$15),0),0)</f>
        <v>0</v>
      </c>
      <c r="AD20" s="593">
        <f ca="1">IF(AND($D20="Serviço",AD$12&lt;&gt;0,$H20&gt;0,OR(AUTOEVENTO&lt;&gt;"manual",$M20&lt;&gt;1)),ROUND(OFFSET($P20,0,AD$13),15-13*ORÇAMENTO!$AF$7)/$H20*OFFSET(ORÇAMENTO!$X$15,ROW(AD20)-ROW(AD$15),0),0)</f>
        <v>0</v>
      </c>
      <c r="AE20" s="593">
        <f ca="1">IF(AND($D20="Serviço",AE$12&lt;&gt;0,$H20&gt;0,OR(AUTOEVENTO&lt;&gt;"manual",$M20&lt;&gt;1)),ROUND(OFFSET($P20,0,AE$13),15-13*ORÇAMENTO!$AF$7)/$H20*OFFSET(ORÇAMENTO!$X$15,ROW(AE20)-ROW(AE$15),0),0)</f>
        <v>0</v>
      </c>
      <c r="AF20" s="593">
        <f ca="1">IF(AND($D20="Serviço",AF$12&lt;&gt;0,$H20&gt;0,OR(AUTOEVENTO&lt;&gt;"manual",$M20&lt;&gt;1)),ROUND(OFFSET($P20,0,AF$13),15-13*ORÇAMENTO!$AF$7)/$H20*OFFSET(ORÇAMENTO!$X$15,ROW(AF20)-ROW(AF$15),0),0)</f>
        <v>0</v>
      </c>
      <c r="AG20" s="593">
        <f ca="1">IF(AND($D20="Serviço",AG$12&lt;&gt;0,$H20&gt;0,OR(AUTOEVENTO&lt;&gt;"manual",$M20&lt;&gt;1)),ROUND(OFFSET($P20,0,AG$13),15-13*ORÇAMENTO!$AF$7)/$H20*OFFSET(ORÇAMENTO!$X$15,ROW(AG20)-ROW(AG$15),0),0)</f>
        <v>0</v>
      </c>
      <c r="AH20" s="593">
        <f ca="1">IF(AND($D20="Serviço",AH$12&lt;&gt;0,$H20&gt;0,OR(AUTOEVENTO&lt;&gt;"manual",$M20&lt;&gt;1)),ROUND(OFFSET($P20,0,AH$13),15-13*ORÇAMENTO!$AF$7)/$H20*OFFSET(ORÇAMENTO!$X$15,ROW(AH20)-ROW(AH$15),0),0)</f>
        <v>0</v>
      </c>
      <c r="AI20" s="593">
        <f ca="1">IF(AND($D20="Serviço",AI$12&lt;&gt;0,$H20&gt;0,OR(AUTOEVENTO&lt;&gt;"manual",$M20&lt;&gt;1)),ROUND(OFFSET($P20,0,AI$13),15-13*ORÇAMENTO!$AF$7)/$H20*OFFSET(ORÇAMENTO!$X$15,ROW(AI20)-ROW(AI$15),0),0)</f>
        <v>0</v>
      </c>
      <c r="AJ20" s="593">
        <f ca="1">IF(AND($D20="Serviço",AJ$12&lt;&gt;0,$H20&gt;0,OR(AUTOEVENTO&lt;&gt;"manual",$M20&lt;&gt;1)),ROUND(OFFSET($P20,0,AJ$13),15-13*ORÇAMENTO!$AF$7)/$H20*OFFSET(ORÇAMENTO!$X$15,ROW(AJ20)-ROW(AJ$15),0),0)</f>
        <v>0</v>
      </c>
      <c r="AK20" s="594">
        <f ca="1">IF(AND($D20="Serviço",AK$12&lt;&gt;0,$H20&gt;0,OR(AUTOEVENTO&lt;&gt;"manual",$M20&lt;&gt;1)),ROUND(OFFSET($P20,0,AK$13),15-13*ORÇAMENTO!$AF$7)/$H20*OFFSET(ORÇAMENTO!$X$15,ROW(AK20)-ROW(AK$15),0),0)</f>
        <v>0</v>
      </c>
      <c r="AM20" s="215">
        <f ca="1">IF($D20&lt;&gt;"Serviço",0,IF(AND(AUTOEVENTO="Manual",$M20=1),0,IF(OFFSET(CRONOPLE!$F$14,$M20,AM$13)="",10^12,OFFSET(CRONOPLE!$F$14,$M20,AM$13))))</f>
        <v>1</v>
      </c>
      <c r="AN20" s="215">
        <f ca="1">IF($D20&lt;&gt;"Serviço",0,IF(AND(AUTOEVENTO="Manual",$M20=1),0,IF(OFFSET(CRONOPLE!$F$14,$M20,AN$13)="",10^12,OFFSET(CRONOPLE!$F$14,$M20,AN$13))))</f>
        <v>1000000000000</v>
      </c>
      <c r="AO20" s="215">
        <f ca="1">IF($D20&lt;&gt;"Serviço",0,IF(AND(AUTOEVENTO="Manual",$M20=1),0,IF(OFFSET(CRONOPLE!$F$14,$M20,AO$13)="",10^12,OFFSET(CRONOPLE!$F$14,$M20,AO$13))))</f>
        <v>1000000000000</v>
      </c>
      <c r="AP20" s="215">
        <f ca="1">IF($D20&lt;&gt;"Serviço",0,IF(AND(AUTOEVENTO="Manual",$M20=1),0,IF(OFFSET(CRONOPLE!$F$14,$M20,AP$13)="",10^12,OFFSET(CRONOPLE!$F$14,$M20,AP$13))))</f>
        <v>1000000000000</v>
      </c>
      <c r="AQ20" s="215">
        <f ca="1">IF($D20&lt;&gt;"Serviço",0,IF(AND(AUTOEVENTO="Manual",$M20=1),0,IF(OFFSET(CRONOPLE!$F$14,$M20,AQ$13)="",10^12,OFFSET(CRONOPLE!$F$14,$M20,AQ$13))))</f>
        <v>1000000000000</v>
      </c>
      <c r="AR20" s="215">
        <f ca="1">IF($D20&lt;&gt;"Serviço",0,IF(AND(AUTOEVENTO="Manual",$M20=1),0,IF(OFFSET(CRONOPLE!$F$14,$M20,AR$13)="",10^12,OFFSET(CRONOPLE!$F$14,$M20,AR$13))))</f>
        <v>1000000000000</v>
      </c>
      <c r="AS20" s="215">
        <f ca="1">IF($D20&lt;&gt;"Serviço",0,IF(AND(AUTOEVENTO="Manual",$M20=1),0,IF(OFFSET(CRONOPLE!$F$14,$M20,AS$13)="",10^12,OFFSET(CRONOPLE!$F$14,$M20,AS$13))))</f>
        <v>1000000000000</v>
      </c>
      <c r="AT20" s="215">
        <f ca="1">IF($D20&lt;&gt;"Serviço",0,IF(AND(AUTOEVENTO="Manual",$M20=1),0,IF(OFFSET(CRONOPLE!$F$14,$M20,AT$13)="",10^12,OFFSET(CRONOPLE!$F$14,$M20,AT$13))))</f>
        <v>1000000000000</v>
      </c>
      <c r="AU20" s="215">
        <f ca="1">IF($D20&lt;&gt;"Serviço",0,IF(AND(AUTOEVENTO="Manual",$M20=1),0,IF(OFFSET(CRONOPLE!$F$14,$M20,AU$13)="",10^12,OFFSET(CRONOPLE!$F$14,$M20,AU$13))))</f>
        <v>1000000000000</v>
      </c>
      <c r="AV20" s="215">
        <f ca="1">IF($D20&lt;&gt;"Serviço",0,IF(AND(AUTOEVENTO="Manual",$M20=1),0,IF(OFFSET(CRONOPLE!$F$14,$M20,AV$13)="",10^12,OFFSET(CRONOPLE!$F$14,$M20,AV$13))))</f>
        <v>1000000000000</v>
      </c>
      <c r="AX20" s="216">
        <f ca="1">IF($D20&lt;&gt;"Serviço",0,IF(OR(AND(AUTOEVENTO="Manual",$M20=1),$M20&gt;(ROW(PLE.lastrow)-ROW(PLE.firstrow))),0,IF(OFFSET(PLE!$G$14,$M20,AX$13)="",10^12,OFFSET(PLE!$G$14,$M20,AX$13))))</f>
        <v>1</v>
      </c>
      <c r="AY20" s="216">
        <f ca="1">IF($D20&lt;&gt;"Serviço",0,IF(OR(AND(AUTOEVENTO="Manual",$M20=1),$M20&gt;(ROW(PLE.lastrow)-ROW(PLE.firstrow))),0,IF(OFFSET(PLE!$G$14,$M20,AY$13)="",10^12,OFFSET(PLE!$G$14,$M20,AY$13))))</f>
        <v>1000000000000</v>
      </c>
      <c r="AZ20" s="216">
        <f ca="1">IF($D20&lt;&gt;"Serviço",0,IF(OR(AND(AUTOEVENTO="Manual",$M20=1),$M20&gt;(ROW(PLE.lastrow)-ROW(PLE.firstrow))),0,IF(OFFSET(PLE!$G$14,$M20,AZ$13)="",10^12,OFFSET(PLE!$G$14,$M20,AZ$13))))</f>
        <v>1000000000000</v>
      </c>
      <c r="BA20" s="216">
        <f ca="1">IF($D20&lt;&gt;"Serviço",0,IF(OR(AND(AUTOEVENTO="Manual",$M20=1),$M20&gt;(ROW(PLE.lastrow)-ROW(PLE.firstrow))),0,IF(OFFSET(PLE!$G$14,$M20,BA$13)="",10^12,OFFSET(PLE!$G$14,$M20,BA$13))))</f>
        <v>1000000000000</v>
      </c>
      <c r="BB20" s="216">
        <f ca="1">IF($D20&lt;&gt;"Serviço",0,IF(OR(AND(AUTOEVENTO="Manual",$M20=1),$M20&gt;(ROW(PLE.lastrow)-ROW(PLE.firstrow))),0,IF(OFFSET(PLE!$G$14,$M20,BB$13)="",10^12,OFFSET(PLE!$G$14,$M20,BB$13))))</f>
        <v>1000000000000</v>
      </c>
      <c r="BC20" s="216">
        <f ca="1">IF($D20&lt;&gt;"Serviço",0,IF(OR(AND(AUTOEVENTO="Manual",$M20=1),$M20&gt;(ROW(PLE.lastrow)-ROW(PLE.firstrow))),0,IF(OFFSET(PLE!$G$14,$M20,BC$13)="",10^12,OFFSET(PLE!$G$14,$M20,BC$13))))</f>
        <v>1000000000000</v>
      </c>
      <c r="BD20" s="216">
        <f ca="1">IF($D20&lt;&gt;"Serviço",0,IF(OR(AND(AUTOEVENTO="Manual",$M20=1),$M20&gt;(ROW(PLE.lastrow)-ROW(PLE.firstrow))),0,IF(OFFSET(PLE!$G$14,$M20,BD$13)="",10^12,OFFSET(PLE!$G$14,$M20,BD$13))))</f>
        <v>1000000000000</v>
      </c>
      <c r="BE20" s="216">
        <f ca="1">IF($D20&lt;&gt;"Serviço",0,IF(OR(AND(AUTOEVENTO="Manual",$M20=1),$M20&gt;(ROW(PLE.lastrow)-ROW(PLE.firstrow))),0,IF(OFFSET(PLE!$G$14,$M20,BE$13)="",10^12,OFFSET(PLE!$G$14,$M20,BE$13))))</f>
        <v>1000000000000</v>
      </c>
      <c r="BF20" s="216">
        <f ca="1">IF($D20&lt;&gt;"Serviço",0,IF(OR(AND(AUTOEVENTO="Manual",$M20=1),$M20&gt;(ROW(PLE.lastrow)-ROW(PLE.firstrow))),0,IF(OFFSET(PLE!$G$14,$M20,BF$13)="",10^12,OFFSET(PLE!$G$14,$M20,BF$13))))</f>
        <v>1000000000000</v>
      </c>
      <c r="BG20" s="216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>F</v>
      </c>
      <c r="D21" s="145" t="str">
        <f ca="1">OFFSET(ORÇAMENTO!N$15,ROW(D21)-ROW(D$15),0)</f>
        <v>Serviço</v>
      </c>
      <c r="E21" s="205" t="str">
        <f ca="1">OFFSET(ORÇAMENTO!O$15,ROW(E21)-ROW(E$15),0)</f>
        <v>1.1.1.</v>
      </c>
      <c r="F21" s="206" t="str">
        <f ca="1">OFFSET(ORÇAMENTO!R$15,ROW(F21)-ROW(F$15),0)</f>
        <v>(abra o arquivo 'Referência 05-2023.xls)</v>
      </c>
      <c r="G21" s="207" t="str">
        <f ca="1">IF($D21&lt;&gt;"Serviço","",OFFSET(ORÇAMENTO!S$15,ROW(G21)-ROW(G$15),0))</f>
        <v>-</v>
      </c>
      <c r="H21" s="151">
        <f ca="1">IF($D21&lt;&gt;"Serviço",0,IF(ACOMPANHAMENTO="BM",ROUND(OFFSET(ORÇAMENTO!AJ$15,ROW(H21)-ROW(H$15),0),15-13*ORÇAMENTO!$AF$7),SUMPRODUCT(($Q$12:$AA$12&lt;&gt;"")*ROUND($Q21:$AA21,15-13*ORÇAMENTO!$AF$7))))</f>
        <v>195</v>
      </c>
      <c r="I21" s="611" t="s">
        <v>459</v>
      </c>
      <c r="K21" s="208"/>
      <c r="L21" s="209" t="s">
        <v>254</v>
      </c>
      <c r="M21" s="210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1" t="str">
        <f ca="1">IF($D21&lt;&gt;"Serviço","",IF(AUTOEVENTO="Manual",IF($A21=0,"&lt;-- defina o número do agrupador",OFFSET(EVENTOS!$D$14,$A21,0)),OFFSET($F$15,$A21,0)))</f>
        <v>SERVIÇOS PRELIMINARES</v>
      </c>
      <c r="O21" s="212"/>
      <c r="Q21" s="212">
        <v>98</v>
      </c>
      <c r="R21" s="213"/>
      <c r="S21" s="213"/>
      <c r="T21" s="213"/>
      <c r="U21" s="213"/>
      <c r="V21" s="213"/>
      <c r="W21" s="213"/>
      <c r="X21" s="213"/>
      <c r="Y21" s="213"/>
      <c r="Z21" s="214"/>
      <c r="AB21" s="592">
        <f ca="1">IF(AND($D21="Serviço",AB$12&lt;&gt;0,$H21&gt;0,OR(AUTOEVENTO&lt;&gt;"manual",$M21&lt;&gt;1)),ROUND(OFFSET($P21,0,AB$13),15-13*ORÇAMENTO!$AF$7)/$H21*OFFSET(ORÇAMENTO!$X$15,ROW(AB21)-ROW(AB$15),0),0)</f>
        <v>4680.4800000000005</v>
      </c>
      <c r="AC21" s="593">
        <f ca="1">IF(AND($D21="Serviço",AC$12&lt;&gt;0,$H21&gt;0,OR(AUTOEVENTO&lt;&gt;"manual",$M21&lt;&gt;1)),ROUND(OFFSET($P21,0,AC$13),15-13*ORÇAMENTO!$AF$7)/$H21*OFFSET(ORÇAMENTO!$X$15,ROW(AC21)-ROW(AC$15),0),0)</f>
        <v>0</v>
      </c>
      <c r="AD21" s="593">
        <f ca="1">IF(AND($D21="Serviço",AD$12&lt;&gt;0,$H21&gt;0,OR(AUTOEVENTO&lt;&gt;"manual",$M21&lt;&gt;1)),ROUND(OFFSET($P21,0,AD$13),15-13*ORÇAMENTO!$AF$7)/$H21*OFFSET(ORÇAMENTO!$X$15,ROW(AD21)-ROW(AD$15),0),0)</f>
        <v>0</v>
      </c>
      <c r="AE21" s="593">
        <f ca="1">IF(AND($D21="Serviço",AE$12&lt;&gt;0,$H21&gt;0,OR(AUTOEVENTO&lt;&gt;"manual",$M21&lt;&gt;1)),ROUND(OFFSET($P21,0,AE$13),15-13*ORÇAMENTO!$AF$7)/$H21*OFFSET(ORÇAMENTO!$X$15,ROW(AE21)-ROW(AE$15),0),0)</f>
        <v>0</v>
      </c>
      <c r="AF21" s="593">
        <f ca="1">IF(AND($D21="Serviço",AF$12&lt;&gt;0,$H21&gt;0,OR(AUTOEVENTO&lt;&gt;"manual",$M21&lt;&gt;1)),ROUND(OFFSET($P21,0,AF$13),15-13*ORÇAMENTO!$AF$7)/$H21*OFFSET(ORÇAMENTO!$X$15,ROW(AF21)-ROW(AF$15),0),0)</f>
        <v>0</v>
      </c>
      <c r="AG21" s="593">
        <f ca="1">IF(AND($D21="Serviço",AG$12&lt;&gt;0,$H21&gt;0,OR(AUTOEVENTO&lt;&gt;"manual",$M21&lt;&gt;1)),ROUND(OFFSET($P21,0,AG$13),15-13*ORÇAMENTO!$AF$7)/$H21*OFFSET(ORÇAMENTO!$X$15,ROW(AG21)-ROW(AG$15),0),0)</f>
        <v>0</v>
      </c>
      <c r="AH21" s="593">
        <f ca="1">IF(AND($D21="Serviço",AH$12&lt;&gt;0,$H21&gt;0,OR(AUTOEVENTO&lt;&gt;"manual",$M21&lt;&gt;1)),ROUND(OFFSET($P21,0,AH$13),15-13*ORÇAMENTO!$AF$7)/$H21*OFFSET(ORÇAMENTO!$X$15,ROW(AH21)-ROW(AH$15),0),0)</f>
        <v>0</v>
      </c>
      <c r="AI21" s="593">
        <f ca="1">IF(AND($D21="Serviço",AI$12&lt;&gt;0,$H21&gt;0,OR(AUTOEVENTO&lt;&gt;"manual",$M21&lt;&gt;1)),ROUND(OFFSET($P21,0,AI$13),15-13*ORÇAMENTO!$AF$7)/$H21*OFFSET(ORÇAMENTO!$X$15,ROW(AI21)-ROW(AI$15),0),0)</f>
        <v>0</v>
      </c>
      <c r="AJ21" s="593">
        <f ca="1">IF(AND($D21="Serviço",AJ$12&lt;&gt;0,$H21&gt;0,OR(AUTOEVENTO&lt;&gt;"manual",$M21&lt;&gt;1)),ROUND(OFFSET($P21,0,AJ$13),15-13*ORÇAMENTO!$AF$7)/$H21*OFFSET(ORÇAMENTO!$X$15,ROW(AJ21)-ROW(AJ$15),0),0)</f>
        <v>0</v>
      </c>
      <c r="AK21" s="594">
        <f ca="1">IF(AND($D21="Serviço",AK$12&lt;&gt;0,$H21&gt;0,OR(AUTOEVENTO&lt;&gt;"manual",$M21&lt;&gt;1)),ROUND(OFFSET($P21,0,AK$13),15-13*ORÇAMENTO!$AF$7)/$H21*OFFSET(ORÇAMENTO!$X$15,ROW(AK21)-ROW(AK$15),0),0)</f>
        <v>0</v>
      </c>
      <c r="AM21" s="215">
        <f ca="1">IF($D21&lt;&gt;"Serviço",0,IF(AND(AUTOEVENTO="Manual",$M21=1),0,IF(OFFSET(CRONOPLE!$F$14,$M21,AM$13)="",10^12,OFFSET(CRONOPLE!$F$14,$M21,AM$13))))</f>
        <v>1</v>
      </c>
      <c r="AN21" s="215">
        <f ca="1">IF($D21&lt;&gt;"Serviço",0,IF(AND(AUTOEVENTO="Manual",$M21=1),0,IF(OFFSET(CRONOPLE!$F$14,$M21,AN$13)="",10^12,OFFSET(CRONOPLE!$F$14,$M21,AN$13))))</f>
        <v>1000000000000</v>
      </c>
      <c r="AO21" s="215">
        <f ca="1">IF($D21&lt;&gt;"Serviço",0,IF(AND(AUTOEVENTO="Manual",$M21=1),0,IF(OFFSET(CRONOPLE!$F$14,$M21,AO$13)="",10^12,OFFSET(CRONOPLE!$F$14,$M21,AO$13))))</f>
        <v>1000000000000</v>
      </c>
      <c r="AP21" s="215">
        <f ca="1">IF($D21&lt;&gt;"Serviço",0,IF(AND(AUTOEVENTO="Manual",$M21=1),0,IF(OFFSET(CRONOPLE!$F$14,$M21,AP$13)="",10^12,OFFSET(CRONOPLE!$F$14,$M21,AP$13))))</f>
        <v>1000000000000</v>
      </c>
      <c r="AQ21" s="215">
        <f ca="1">IF($D21&lt;&gt;"Serviço",0,IF(AND(AUTOEVENTO="Manual",$M21=1),0,IF(OFFSET(CRONOPLE!$F$14,$M21,AQ$13)="",10^12,OFFSET(CRONOPLE!$F$14,$M21,AQ$13))))</f>
        <v>1000000000000</v>
      </c>
      <c r="AR21" s="215">
        <f ca="1">IF($D21&lt;&gt;"Serviço",0,IF(AND(AUTOEVENTO="Manual",$M21=1),0,IF(OFFSET(CRONOPLE!$F$14,$M21,AR$13)="",10^12,OFFSET(CRONOPLE!$F$14,$M21,AR$13))))</f>
        <v>1000000000000</v>
      </c>
      <c r="AS21" s="215">
        <f ca="1">IF($D21&lt;&gt;"Serviço",0,IF(AND(AUTOEVENTO="Manual",$M21=1),0,IF(OFFSET(CRONOPLE!$F$14,$M21,AS$13)="",10^12,OFFSET(CRONOPLE!$F$14,$M21,AS$13))))</f>
        <v>1000000000000</v>
      </c>
      <c r="AT21" s="215">
        <f ca="1">IF($D21&lt;&gt;"Serviço",0,IF(AND(AUTOEVENTO="Manual",$M21=1),0,IF(OFFSET(CRONOPLE!$F$14,$M21,AT$13)="",10^12,OFFSET(CRONOPLE!$F$14,$M21,AT$13))))</f>
        <v>1000000000000</v>
      </c>
      <c r="AU21" s="215">
        <f ca="1">IF($D21&lt;&gt;"Serviço",0,IF(AND(AUTOEVENTO="Manual",$M21=1),0,IF(OFFSET(CRONOPLE!$F$14,$M21,AU$13)="",10^12,OFFSET(CRONOPLE!$F$14,$M21,AU$13))))</f>
        <v>1000000000000</v>
      </c>
      <c r="AV21" s="215">
        <f ca="1">IF($D21&lt;&gt;"Serviço",0,IF(AND(AUTOEVENTO="Manual",$M21=1),0,IF(OFFSET(CRONOPLE!$F$14,$M21,AV$13)="",10^12,OFFSET(CRONOPLE!$F$14,$M21,AV$13))))</f>
        <v>1000000000000</v>
      </c>
      <c r="AX21" s="216">
        <f ca="1">IF($D21&lt;&gt;"Serviço",0,IF(OR(AND(AUTOEVENTO="Manual",$M21=1),$M21&gt;(ROW(PLE.lastrow)-ROW(PLE.firstrow))),0,IF(OFFSET(PLE!$G$14,$M21,AX$13)="",10^12,OFFSET(PLE!$G$14,$M21,AX$13))))</f>
        <v>1</v>
      </c>
      <c r="AY21" s="216">
        <f ca="1">IF($D21&lt;&gt;"Serviço",0,IF(OR(AND(AUTOEVENTO="Manual",$M21=1),$M21&gt;(ROW(PLE.lastrow)-ROW(PLE.firstrow))),0,IF(OFFSET(PLE!$G$14,$M21,AY$13)="",10^12,OFFSET(PLE!$G$14,$M21,AY$13))))</f>
        <v>1000000000000</v>
      </c>
      <c r="AZ21" s="216">
        <f ca="1">IF($D21&lt;&gt;"Serviço",0,IF(OR(AND(AUTOEVENTO="Manual",$M21=1),$M21&gt;(ROW(PLE.lastrow)-ROW(PLE.firstrow))),0,IF(OFFSET(PLE!$G$14,$M21,AZ$13)="",10^12,OFFSET(PLE!$G$14,$M21,AZ$13))))</f>
        <v>1000000000000</v>
      </c>
      <c r="BA21" s="216">
        <f ca="1">IF($D21&lt;&gt;"Serviço",0,IF(OR(AND(AUTOEVENTO="Manual",$M21=1),$M21&gt;(ROW(PLE.lastrow)-ROW(PLE.firstrow))),0,IF(OFFSET(PLE!$G$14,$M21,BA$13)="",10^12,OFFSET(PLE!$G$14,$M21,BA$13))))</f>
        <v>1000000000000</v>
      </c>
      <c r="BB21" s="216">
        <f ca="1">IF($D21&lt;&gt;"Serviço",0,IF(OR(AND(AUTOEVENTO="Manual",$M21=1),$M21&gt;(ROW(PLE.lastrow)-ROW(PLE.firstrow))),0,IF(OFFSET(PLE!$G$14,$M21,BB$13)="",10^12,OFFSET(PLE!$G$14,$M21,BB$13))))</f>
        <v>1000000000000</v>
      </c>
      <c r="BC21" s="216">
        <f ca="1">IF($D21&lt;&gt;"Serviço",0,IF(OR(AND(AUTOEVENTO="Manual",$M21=1),$M21&gt;(ROW(PLE.lastrow)-ROW(PLE.firstrow))),0,IF(OFFSET(PLE!$G$14,$M21,BC$13)="",10^12,OFFSET(PLE!$G$14,$M21,BC$13))))</f>
        <v>1000000000000</v>
      </c>
      <c r="BD21" s="216">
        <f ca="1">IF($D21&lt;&gt;"Serviço",0,IF(OR(AND(AUTOEVENTO="Manual",$M21=1),$M21&gt;(ROW(PLE.lastrow)-ROW(PLE.firstrow))),0,IF(OFFSET(PLE!$G$14,$M21,BD$13)="",10^12,OFFSET(PLE!$G$14,$M21,BD$13))))</f>
        <v>1000000000000</v>
      </c>
      <c r="BE21" s="216">
        <f ca="1">IF($D21&lt;&gt;"Serviço",0,IF(OR(AND(AUTOEVENTO="Manual",$M21=1),$M21&gt;(ROW(PLE.lastrow)-ROW(PLE.firstrow))),0,IF(OFFSET(PLE!$G$14,$M21,BE$13)="",10^12,OFFSET(PLE!$G$14,$M21,BE$13))))</f>
        <v>1000000000000</v>
      </c>
      <c r="BF21" s="216">
        <f ca="1">IF($D21&lt;&gt;"Serviço",0,IF(OR(AND(AUTOEVENTO="Manual",$M21=1),$M21&gt;(ROW(PLE.lastrow)-ROW(PLE.firstrow))),0,IF(OFFSET(PLE!$G$14,$M21,BF$13)="",10^12,OFFSET(PLE!$G$14,$M21,BF$13))))</f>
        <v>1000000000000</v>
      </c>
      <c r="BG21" s="216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>F</v>
      </c>
      <c r="D22" s="145" t="str">
        <f ca="1">OFFSET(ORÇAMENTO!N$15,ROW(D22)-ROW(D$15),0)</f>
        <v>Serviço</v>
      </c>
      <c r="E22" s="205" t="str">
        <f ca="1">OFFSET(ORÇAMENTO!O$15,ROW(E22)-ROW(E$15),0)</f>
        <v>1.1.2.</v>
      </c>
      <c r="F22" s="206" t="str">
        <f ca="1">OFFSET(ORÇAMENTO!R$15,ROW(F22)-ROW(F$15),0)</f>
        <v>(abra o arquivo 'Referência 05-2023.xls)</v>
      </c>
      <c r="G22" s="207" t="str">
        <f ca="1">IF($D22&lt;&gt;"Serviço","",OFFSET(ORÇAMENTO!S$15,ROW(G22)-ROW(G$15),0))</f>
        <v>-</v>
      </c>
      <c r="H22" s="151">
        <f ca="1">IF($D22&lt;&gt;"Serviço",0,IF(ACOMPANHAMENTO="BM",ROUND(OFFSET(ORÇAMENTO!AJ$15,ROW(H22)-ROW(H$15),0),15-13*ORÇAMENTO!$AF$7),SUMPRODUCT(($Q$12:$AA$12&lt;&gt;"")*ROUND($Q22:$AA22,15-13*ORÇAMENTO!$AF$7))))</f>
        <v>16.100000000000001</v>
      </c>
      <c r="I22" s="611" t="s">
        <v>460</v>
      </c>
      <c r="K22" s="208"/>
      <c r="L22" s="209" t="s">
        <v>254</v>
      </c>
      <c r="M22" s="210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11" t="str">
        <f ca="1">IF($D22&lt;&gt;"Serviço","",IF(AUTOEVENTO="Manual",IF($A22=0,"&lt;-- defina o número do agrupador",OFFSET(EVENTOS!$D$14,$A22,0)),OFFSET($F$15,$A22,0)))</f>
        <v>SERVIÇOS PRELIMINARES</v>
      </c>
      <c r="O22" s="212"/>
      <c r="Q22" s="212">
        <v>11.6</v>
      </c>
      <c r="R22" s="213"/>
      <c r="S22" s="213"/>
      <c r="T22" s="213"/>
      <c r="U22" s="213"/>
      <c r="V22" s="213"/>
      <c r="W22" s="213"/>
      <c r="X22" s="213"/>
      <c r="Y22" s="213"/>
      <c r="Z22" s="214"/>
      <c r="AB22" s="592">
        <f ca="1">IF(AND($D22="Serviço",AB$12&lt;&gt;0,$H22&gt;0,OR(AUTOEVENTO&lt;&gt;"manual",$M22&lt;&gt;1)),ROUND(OFFSET($P22,0,AB$13),15-13*ORÇAMENTO!$AF$7)/$H22*OFFSET(ORÇAMENTO!$X$15,ROW(AB22)-ROW(AB$15),0),0)</f>
        <v>156.02360248447204</v>
      </c>
      <c r="AC22" s="593">
        <f ca="1">IF(AND($D22="Serviço",AC$12&lt;&gt;0,$H22&gt;0,OR(AUTOEVENTO&lt;&gt;"manual",$M22&lt;&gt;1)),ROUND(OFFSET($P22,0,AC$13),15-13*ORÇAMENTO!$AF$7)/$H22*OFFSET(ORÇAMENTO!$X$15,ROW(AC22)-ROW(AC$15),0),0)</f>
        <v>0</v>
      </c>
      <c r="AD22" s="593">
        <f ca="1">IF(AND($D22="Serviço",AD$12&lt;&gt;0,$H22&gt;0,OR(AUTOEVENTO&lt;&gt;"manual",$M22&lt;&gt;1)),ROUND(OFFSET($P22,0,AD$13),15-13*ORÇAMENTO!$AF$7)/$H22*OFFSET(ORÇAMENTO!$X$15,ROW(AD22)-ROW(AD$15),0),0)</f>
        <v>0</v>
      </c>
      <c r="AE22" s="593">
        <f ca="1">IF(AND($D22="Serviço",AE$12&lt;&gt;0,$H22&gt;0,OR(AUTOEVENTO&lt;&gt;"manual",$M22&lt;&gt;1)),ROUND(OFFSET($P22,0,AE$13),15-13*ORÇAMENTO!$AF$7)/$H22*OFFSET(ORÇAMENTO!$X$15,ROW(AE22)-ROW(AE$15),0),0)</f>
        <v>0</v>
      </c>
      <c r="AF22" s="593">
        <f ca="1">IF(AND($D22="Serviço",AF$12&lt;&gt;0,$H22&gt;0,OR(AUTOEVENTO&lt;&gt;"manual",$M22&lt;&gt;1)),ROUND(OFFSET($P22,0,AF$13),15-13*ORÇAMENTO!$AF$7)/$H22*OFFSET(ORÇAMENTO!$X$15,ROW(AF22)-ROW(AF$15),0),0)</f>
        <v>0</v>
      </c>
      <c r="AG22" s="593">
        <f ca="1">IF(AND($D22="Serviço",AG$12&lt;&gt;0,$H22&gt;0,OR(AUTOEVENTO&lt;&gt;"manual",$M22&lt;&gt;1)),ROUND(OFFSET($P22,0,AG$13),15-13*ORÇAMENTO!$AF$7)/$H22*OFFSET(ORÇAMENTO!$X$15,ROW(AG22)-ROW(AG$15),0),0)</f>
        <v>0</v>
      </c>
      <c r="AH22" s="593">
        <f ca="1">IF(AND($D22="Serviço",AH$12&lt;&gt;0,$H22&gt;0,OR(AUTOEVENTO&lt;&gt;"manual",$M22&lt;&gt;1)),ROUND(OFFSET($P22,0,AH$13),15-13*ORÇAMENTO!$AF$7)/$H22*OFFSET(ORÇAMENTO!$X$15,ROW(AH22)-ROW(AH$15),0),0)</f>
        <v>0</v>
      </c>
      <c r="AI22" s="593">
        <f ca="1">IF(AND($D22="Serviço",AI$12&lt;&gt;0,$H22&gt;0,OR(AUTOEVENTO&lt;&gt;"manual",$M22&lt;&gt;1)),ROUND(OFFSET($P22,0,AI$13),15-13*ORÇAMENTO!$AF$7)/$H22*OFFSET(ORÇAMENTO!$X$15,ROW(AI22)-ROW(AI$15),0),0)</f>
        <v>0</v>
      </c>
      <c r="AJ22" s="593">
        <f ca="1">IF(AND($D22="Serviço",AJ$12&lt;&gt;0,$H22&gt;0,OR(AUTOEVENTO&lt;&gt;"manual",$M22&lt;&gt;1)),ROUND(OFFSET($P22,0,AJ$13),15-13*ORÇAMENTO!$AF$7)/$H22*OFFSET(ORÇAMENTO!$X$15,ROW(AJ22)-ROW(AJ$15),0),0)</f>
        <v>0</v>
      </c>
      <c r="AK22" s="594">
        <f ca="1">IF(AND($D22="Serviço",AK$12&lt;&gt;0,$H22&gt;0,OR(AUTOEVENTO&lt;&gt;"manual",$M22&lt;&gt;1)),ROUND(OFFSET($P22,0,AK$13),15-13*ORÇAMENTO!$AF$7)/$H22*OFFSET(ORÇAMENTO!$X$15,ROW(AK22)-ROW(AK$15),0),0)</f>
        <v>0</v>
      </c>
      <c r="AM22" s="215">
        <f ca="1">IF($D22&lt;&gt;"Serviço",0,IF(AND(AUTOEVENTO="Manual",$M22=1),0,IF(OFFSET(CRONOPLE!$F$14,$M22,AM$13)="",10^12,OFFSET(CRONOPLE!$F$14,$M22,AM$13))))</f>
        <v>1</v>
      </c>
      <c r="AN22" s="215">
        <f ca="1">IF($D22&lt;&gt;"Serviço",0,IF(AND(AUTOEVENTO="Manual",$M22=1),0,IF(OFFSET(CRONOPLE!$F$14,$M22,AN$13)="",10^12,OFFSET(CRONOPLE!$F$14,$M22,AN$13))))</f>
        <v>1000000000000</v>
      </c>
      <c r="AO22" s="215">
        <f ca="1">IF($D22&lt;&gt;"Serviço",0,IF(AND(AUTOEVENTO="Manual",$M22=1),0,IF(OFFSET(CRONOPLE!$F$14,$M22,AO$13)="",10^12,OFFSET(CRONOPLE!$F$14,$M22,AO$13))))</f>
        <v>1000000000000</v>
      </c>
      <c r="AP22" s="215">
        <f ca="1">IF($D22&lt;&gt;"Serviço",0,IF(AND(AUTOEVENTO="Manual",$M22=1),0,IF(OFFSET(CRONOPLE!$F$14,$M22,AP$13)="",10^12,OFFSET(CRONOPLE!$F$14,$M22,AP$13))))</f>
        <v>1000000000000</v>
      </c>
      <c r="AQ22" s="215">
        <f ca="1">IF($D22&lt;&gt;"Serviço",0,IF(AND(AUTOEVENTO="Manual",$M22=1),0,IF(OFFSET(CRONOPLE!$F$14,$M22,AQ$13)="",10^12,OFFSET(CRONOPLE!$F$14,$M22,AQ$13))))</f>
        <v>1000000000000</v>
      </c>
      <c r="AR22" s="215">
        <f ca="1">IF($D22&lt;&gt;"Serviço",0,IF(AND(AUTOEVENTO="Manual",$M22=1),0,IF(OFFSET(CRONOPLE!$F$14,$M22,AR$13)="",10^12,OFFSET(CRONOPLE!$F$14,$M22,AR$13))))</f>
        <v>1000000000000</v>
      </c>
      <c r="AS22" s="215">
        <f ca="1">IF($D22&lt;&gt;"Serviço",0,IF(AND(AUTOEVENTO="Manual",$M22=1),0,IF(OFFSET(CRONOPLE!$F$14,$M22,AS$13)="",10^12,OFFSET(CRONOPLE!$F$14,$M22,AS$13))))</f>
        <v>1000000000000</v>
      </c>
      <c r="AT22" s="215">
        <f ca="1">IF($D22&lt;&gt;"Serviço",0,IF(AND(AUTOEVENTO="Manual",$M22=1),0,IF(OFFSET(CRONOPLE!$F$14,$M22,AT$13)="",10^12,OFFSET(CRONOPLE!$F$14,$M22,AT$13))))</f>
        <v>1000000000000</v>
      </c>
      <c r="AU22" s="215">
        <f ca="1">IF($D22&lt;&gt;"Serviço",0,IF(AND(AUTOEVENTO="Manual",$M22=1),0,IF(OFFSET(CRONOPLE!$F$14,$M22,AU$13)="",10^12,OFFSET(CRONOPLE!$F$14,$M22,AU$13))))</f>
        <v>1000000000000</v>
      </c>
      <c r="AV22" s="215">
        <f ca="1">IF($D22&lt;&gt;"Serviço",0,IF(AND(AUTOEVENTO="Manual",$M22=1),0,IF(OFFSET(CRONOPLE!$F$14,$M22,AV$13)="",10^12,OFFSET(CRONOPLE!$F$14,$M22,AV$13))))</f>
        <v>1000000000000</v>
      </c>
      <c r="AX22" s="216">
        <f ca="1">IF($D22&lt;&gt;"Serviço",0,IF(OR(AND(AUTOEVENTO="Manual",$M22=1),$M22&gt;(ROW(PLE.lastrow)-ROW(PLE.firstrow))),0,IF(OFFSET(PLE!$G$14,$M22,AX$13)="",10^12,OFFSET(PLE!$G$14,$M22,AX$13))))</f>
        <v>1</v>
      </c>
      <c r="AY22" s="216">
        <f ca="1">IF($D22&lt;&gt;"Serviço",0,IF(OR(AND(AUTOEVENTO="Manual",$M22=1),$M22&gt;(ROW(PLE.lastrow)-ROW(PLE.firstrow))),0,IF(OFFSET(PLE!$G$14,$M22,AY$13)="",10^12,OFFSET(PLE!$G$14,$M22,AY$13))))</f>
        <v>1000000000000</v>
      </c>
      <c r="AZ22" s="216">
        <f ca="1">IF($D22&lt;&gt;"Serviço",0,IF(OR(AND(AUTOEVENTO="Manual",$M22=1),$M22&gt;(ROW(PLE.lastrow)-ROW(PLE.firstrow))),0,IF(OFFSET(PLE!$G$14,$M22,AZ$13)="",10^12,OFFSET(PLE!$G$14,$M22,AZ$13))))</f>
        <v>1000000000000</v>
      </c>
      <c r="BA22" s="216">
        <f ca="1">IF($D22&lt;&gt;"Serviço",0,IF(OR(AND(AUTOEVENTO="Manual",$M22=1),$M22&gt;(ROW(PLE.lastrow)-ROW(PLE.firstrow))),0,IF(OFFSET(PLE!$G$14,$M22,BA$13)="",10^12,OFFSET(PLE!$G$14,$M22,BA$13))))</f>
        <v>1000000000000</v>
      </c>
      <c r="BB22" s="216">
        <f ca="1">IF($D22&lt;&gt;"Serviço",0,IF(OR(AND(AUTOEVENTO="Manual",$M22=1),$M22&gt;(ROW(PLE.lastrow)-ROW(PLE.firstrow))),0,IF(OFFSET(PLE!$G$14,$M22,BB$13)="",10^12,OFFSET(PLE!$G$14,$M22,BB$13))))</f>
        <v>1000000000000</v>
      </c>
      <c r="BC22" s="216">
        <f ca="1">IF($D22&lt;&gt;"Serviço",0,IF(OR(AND(AUTOEVENTO="Manual",$M22=1),$M22&gt;(ROW(PLE.lastrow)-ROW(PLE.firstrow))),0,IF(OFFSET(PLE!$G$14,$M22,BC$13)="",10^12,OFFSET(PLE!$G$14,$M22,BC$13))))</f>
        <v>1000000000000</v>
      </c>
      <c r="BD22" s="216">
        <f ca="1">IF($D22&lt;&gt;"Serviço",0,IF(OR(AND(AUTOEVENTO="Manual",$M22=1),$M22&gt;(ROW(PLE.lastrow)-ROW(PLE.firstrow))),0,IF(OFFSET(PLE!$G$14,$M22,BD$13)="",10^12,OFFSET(PLE!$G$14,$M22,BD$13))))</f>
        <v>1000000000000</v>
      </c>
      <c r="BE22" s="216">
        <f ca="1">IF($D22&lt;&gt;"Serviço",0,IF(OR(AND(AUTOEVENTO="Manual",$M22=1),$M22&gt;(ROW(PLE.lastrow)-ROW(PLE.firstrow))),0,IF(OFFSET(PLE!$G$14,$M22,BE$13)="",10^12,OFFSET(PLE!$G$14,$M22,BE$13))))</f>
        <v>1000000000000</v>
      </c>
      <c r="BF22" s="216">
        <f ca="1">IF($D22&lt;&gt;"Serviço",0,IF(OR(AND(AUTOEVENTO="Manual",$M22=1),$M22&gt;(ROW(PLE.lastrow)-ROW(PLE.firstrow))),0,IF(OFFSET(PLE!$G$14,$M22,BF$13)="",10^12,OFFSET(PLE!$G$14,$M22,BF$13))))</f>
        <v>1000000000000</v>
      </c>
      <c r="BG22" s="216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12.75" x14ac:dyDescent="0.2">
      <c r="A23" s="9" t="str">
        <f t="shared" ca="1" si="8"/>
        <v>2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5" t="str">
        <f ca="1">OFFSET(ORÇAMENTO!N$15,ROW(D23)-ROW(D$15),0)</f>
        <v>Serviço</v>
      </c>
      <c r="E23" s="205" t="str">
        <f ca="1">OFFSET(ORÇAMENTO!O$15,ROW(E23)-ROW(E$15),0)</f>
        <v>1.1.3.</v>
      </c>
      <c r="F23" s="206" t="str">
        <f ca="1">OFFSET(ORÇAMENTO!R$15,ROW(F23)-ROW(F$15),0)</f>
        <v>(abra o arquivo 'Referência 05-2023.xls)</v>
      </c>
      <c r="G23" s="207" t="str">
        <f ca="1">IF($D23&lt;&gt;"Serviço","",OFFSET(ORÇAMENTO!S$15,ROW(G23)-ROW(G$15),0))</f>
        <v>-</v>
      </c>
      <c r="H23" s="151">
        <f ca="1">IF($D23&lt;&gt;"Serviço",0,IF(ACOMPANHAMENTO="BM",ROUND(OFFSET(ORÇAMENTO!AJ$15,ROW(H23)-ROW(H$15),0),15-13*ORÇAMENTO!$AF$7),SUMPRODUCT(($Q$12:$AA$12&lt;&gt;"")*ROUND($Q23:$AA23,15-13*ORÇAMENTO!$AF$7))))</f>
        <v>0.4</v>
      </c>
      <c r="I23" s="611"/>
      <c r="K23" s="208"/>
      <c r="L23" s="209" t="s">
        <v>254</v>
      </c>
      <c r="M23" s="210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211" t="str">
        <f ca="1">IF($D23&lt;&gt;"Serviço","",IF(AUTOEVENTO="Manual",IF($A23=0,"&lt;-- defina o número do agrupador",OFFSET(EVENTOS!$D$14,$A23,0)),OFFSET($F$15,$A23,0)))</f>
        <v>SERVIÇOS PRELIMINARES</v>
      </c>
      <c r="O23" s="212"/>
      <c r="Q23" s="212">
        <v>0.4</v>
      </c>
      <c r="R23" s="213"/>
      <c r="S23" s="213"/>
      <c r="T23" s="213"/>
      <c r="U23" s="213"/>
      <c r="V23" s="213"/>
      <c r="W23" s="213"/>
      <c r="X23" s="213"/>
      <c r="Y23" s="213"/>
      <c r="Z23" s="214"/>
      <c r="AB23" s="592">
        <f ca="1">IF(AND($D23="Serviço",AB$12&lt;&gt;0,$H23&gt;0,OR(AUTOEVENTO&lt;&gt;"manual",$M23&lt;&gt;1)),ROUND(OFFSET($P23,0,AB$13),15-13*ORÇAMENTO!$AF$7)/$H23*OFFSET(ORÇAMENTO!$X$15,ROW(AB23)-ROW(AB$15),0),0)</f>
        <v>32.86</v>
      </c>
      <c r="AC23" s="593">
        <f ca="1">IF(AND($D23="Serviço",AC$12&lt;&gt;0,$H23&gt;0,OR(AUTOEVENTO&lt;&gt;"manual",$M23&lt;&gt;1)),ROUND(OFFSET($P23,0,AC$13),15-13*ORÇAMENTO!$AF$7)/$H23*OFFSET(ORÇAMENTO!$X$15,ROW(AC23)-ROW(AC$15),0),0)</f>
        <v>0</v>
      </c>
      <c r="AD23" s="593">
        <f ca="1">IF(AND($D23="Serviço",AD$12&lt;&gt;0,$H23&gt;0,OR(AUTOEVENTO&lt;&gt;"manual",$M23&lt;&gt;1)),ROUND(OFFSET($P23,0,AD$13),15-13*ORÇAMENTO!$AF$7)/$H23*OFFSET(ORÇAMENTO!$X$15,ROW(AD23)-ROW(AD$15),0),0)</f>
        <v>0</v>
      </c>
      <c r="AE23" s="593">
        <f ca="1">IF(AND($D23="Serviço",AE$12&lt;&gt;0,$H23&gt;0,OR(AUTOEVENTO&lt;&gt;"manual",$M23&lt;&gt;1)),ROUND(OFFSET($P23,0,AE$13),15-13*ORÇAMENTO!$AF$7)/$H23*OFFSET(ORÇAMENTO!$X$15,ROW(AE23)-ROW(AE$15),0),0)</f>
        <v>0</v>
      </c>
      <c r="AF23" s="593">
        <f ca="1">IF(AND($D23="Serviço",AF$12&lt;&gt;0,$H23&gt;0,OR(AUTOEVENTO&lt;&gt;"manual",$M23&lt;&gt;1)),ROUND(OFFSET($P23,0,AF$13),15-13*ORÇAMENTO!$AF$7)/$H23*OFFSET(ORÇAMENTO!$X$15,ROW(AF23)-ROW(AF$15),0),0)</f>
        <v>0</v>
      </c>
      <c r="AG23" s="593">
        <f ca="1">IF(AND($D23="Serviço",AG$12&lt;&gt;0,$H23&gt;0,OR(AUTOEVENTO&lt;&gt;"manual",$M23&lt;&gt;1)),ROUND(OFFSET($P23,0,AG$13),15-13*ORÇAMENTO!$AF$7)/$H23*OFFSET(ORÇAMENTO!$X$15,ROW(AG23)-ROW(AG$15),0),0)</f>
        <v>0</v>
      </c>
      <c r="AH23" s="593">
        <f ca="1">IF(AND($D23="Serviço",AH$12&lt;&gt;0,$H23&gt;0,OR(AUTOEVENTO&lt;&gt;"manual",$M23&lt;&gt;1)),ROUND(OFFSET($P23,0,AH$13),15-13*ORÇAMENTO!$AF$7)/$H23*OFFSET(ORÇAMENTO!$X$15,ROW(AH23)-ROW(AH$15),0),0)</f>
        <v>0</v>
      </c>
      <c r="AI23" s="593">
        <f ca="1">IF(AND($D23="Serviço",AI$12&lt;&gt;0,$H23&gt;0,OR(AUTOEVENTO&lt;&gt;"manual",$M23&lt;&gt;1)),ROUND(OFFSET($P23,0,AI$13),15-13*ORÇAMENTO!$AF$7)/$H23*OFFSET(ORÇAMENTO!$X$15,ROW(AI23)-ROW(AI$15),0),0)</f>
        <v>0</v>
      </c>
      <c r="AJ23" s="593">
        <f ca="1">IF(AND($D23="Serviço",AJ$12&lt;&gt;0,$H23&gt;0,OR(AUTOEVENTO&lt;&gt;"manual",$M23&lt;&gt;1)),ROUND(OFFSET($P23,0,AJ$13),15-13*ORÇAMENTO!$AF$7)/$H23*OFFSET(ORÇAMENTO!$X$15,ROW(AJ23)-ROW(AJ$15),0),0)</f>
        <v>0</v>
      </c>
      <c r="AK23" s="594">
        <f ca="1">IF(AND($D23="Serviço",AK$12&lt;&gt;0,$H23&gt;0,OR(AUTOEVENTO&lt;&gt;"manual",$M23&lt;&gt;1)),ROUND(OFFSET($P23,0,AK$13),15-13*ORÇAMENTO!$AF$7)/$H23*OFFSET(ORÇAMENTO!$X$15,ROW(AK23)-ROW(AK$15),0),0)</f>
        <v>0</v>
      </c>
      <c r="AM23" s="215">
        <f ca="1">IF($D23&lt;&gt;"Serviço",0,IF(AND(AUTOEVENTO="Manual",$M23=1),0,IF(OFFSET(CRONOPLE!$F$14,$M23,AM$13)="",10^12,OFFSET(CRONOPLE!$F$14,$M23,AM$13))))</f>
        <v>1</v>
      </c>
      <c r="AN23" s="215">
        <f ca="1">IF($D23&lt;&gt;"Serviço",0,IF(AND(AUTOEVENTO="Manual",$M23=1),0,IF(OFFSET(CRONOPLE!$F$14,$M23,AN$13)="",10^12,OFFSET(CRONOPLE!$F$14,$M23,AN$13))))</f>
        <v>1000000000000</v>
      </c>
      <c r="AO23" s="215">
        <f ca="1">IF($D23&lt;&gt;"Serviço",0,IF(AND(AUTOEVENTO="Manual",$M23=1),0,IF(OFFSET(CRONOPLE!$F$14,$M23,AO$13)="",10^12,OFFSET(CRONOPLE!$F$14,$M23,AO$13))))</f>
        <v>1000000000000</v>
      </c>
      <c r="AP23" s="215">
        <f ca="1">IF($D23&lt;&gt;"Serviço",0,IF(AND(AUTOEVENTO="Manual",$M23=1),0,IF(OFFSET(CRONOPLE!$F$14,$M23,AP$13)="",10^12,OFFSET(CRONOPLE!$F$14,$M23,AP$13))))</f>
        <v>1000000000000</v>
      </c>
      <c r="AQ23" s="215">
        <f ca="1">IF($D23&lt;&gt;"Serviço",0,IF(AND(AUTOEVENTO="Manual",$M23=1),0,IF(OFFSET(CRONOPLE!$F$14,$M23,AQ$13)="",10^12,OFFSET(CRONOPLE!$F$14,$M23,AQ$13))))</f>
        <v>1000000000000</v>
      </c>
      <c r="AR23" s="215">
        <f ca="1">IF($D23&lt;&gt;"Serviço",0,IF(AND(AUTOEVENTO="Manual",$M23=1),0,IF(OFFSET(CRONOPLE!$F$14,$M23,AR$13)="",10^12,OFFSET(CRONOPLE!$F$14,$M23,AR$13))))</f>
        <v>1000000000000</v>
      </c>
      <c r="AS23" s="215">
        <f ca="1">IF($D23&lt;&gt;"Serviço",0,IF(AND(AUTOEVENTO="Manual",$M23=1),0,IF(OFFSET(CRONOPLE!$F$14,$M23,AS$13)="",10^12,OFFSET(CRONOPLE!$F$14,$M23,AS$13))))</f>
        <v>1000000000000</v>
      </c>
      <c r="AT23" s="215">
        <f ca="1">IF($D23&lt;&gt;"Serviço",0,IF(AND(AUTOEVENTO="Manual",$M23=1),0,IF(OFFSET(CRONOPLE!$F$14,$M23,AT$13)="",10^12,OFFSET(CRONOPLE!$F$14,$M23,AT$13))))</f>
        <v>1000000000000</v>
      </c>
      <c r="AU23" s="215">
        <f ca="1">IF($D23&lt;&gt;"Serviço",0,IF(AND(AUTOEVENTO="Manual",$M23=1),0,IF(OFFSET(CRONOPLE!$F$14,$M23,AU$13)="",10^12,OFFSET(CRONOPLE!$F$14,$M23,AU$13))))</f>
        <v>1000000000000</v>
      </c>
      <c r="AV23" s="215">
        <f ca="1">IF($D23&lt;&gt;"Serviço",0,IF(AND(AUTOEVENTO="Manual",$M23=1),0,IF(OFFSET(CRONOPLE!$F$14,$M23,AV$13)="",10^12,OFFSET(CRONOPLE!$F$14,$M23,AV$13))))</f>
        <v>1000000000000</v>
      </c>
      <c r="AX23" s="216">
        <f ca="1">IF($D23&lt;&gt;"Serviço",0,IF(OR(AND(AUTOEVENTO="Manual",$M23=1),$M23&gt;(ROW(PLE.lastrow)-ROW(PLE.firstrow))),0,IF(OFFSET(PLE!$G$14,$M23,AX$13)="",10^12,OFFSET(PLE!$G$14,$M23,AX$13))))</f>
        <v>1</v>
      </c>
      <c r="AY23" s="216">
        <f ca="1">IF($D23&lt;&gt;"Serviço",0,IF(OR(AND(AUTOEVENTO="Manual",$M23=1),$M23&gt;(ROW(PLE.lastrow)-ROW(PLE.firstrow))),0,IF(OFFSET(PLE!$G$14,$M23,AY$13)="",10^12,OFFSET(PLE!$G$14,$M23,AY$13))))</f>
        <v>1000000000000</v>
      </c>
      <c r="AZ23" s="216">
        <f ca="1">IF($D23&lt;&gt;"Serviço",0,IF(OR(AND(AUTOEVENTO="Manual",$M23=1),$M23&gt;(ROW(PLE.lastrow)-ROW(PLE.firstrow))),0,IF(OFFSET(PLE!$G$14,$M23,AZ$13)="",10^12,OFFSET(PLE!$G$14,$M23,AZ$13))))</f>
        <v>1000000000000</v>
      </c>
      <c r="BA23" s="216">
        <f ca="1">IF($D23&lt;&gt;"Serviço",0,IF(OR(AND(AUTOEVENTO="Manual",$M23=1),$M23&gt;(ROW(PLE.lastrow)-ROW(PLE.firstrow))),0,IF(OFFSET(PLE!$G$14,$M23,BA$13)="",10^12,OFFSET(PLE!$G$14,$M23,BA$13))))</f>
        <v>1000000000000</v>
      </c>
      <c r="BB23" s="216">
        <f ca="1">IF($D23&lt;&gt;"Serviço",0,IF(OR(AND(AUTOEVENTO="Manual",$M23=1),$M23&gt;(ROW(PLE.lastrow)-ROW(PLE.firstrow))),0,IF(OFFSET(PLE!$G$14,$M23,BB$13)="",10^12,OFFSET(PLE!$G$14,$M23,BB$13))))</f>
        <v>1000000000000</v>
      </c>
      <c r="BC23" s="216">
        <f ca="1">IF($D23&lt;&gt;"Serviço",0,IF(OR(AND(AUTOEVENTO="Manual",$M23=1),$M23&gt;(ROW(PLE.lastrow)-ROW(PLE.firstrow))),0,IF(OFFSET(PLE!$G$14,$M23,BC$13)="",10^12,OFFSET(PLE!$G$14,$M23,BC$13))))</f>
        <v>1000000000000</v>
      </c>
      <c r="BD23" s="216">
        <f ca="1">IF($D23&lt;&gt;"Serviço",0,IF(OR(AND(AUTOEVENTO="Manual",$M23=1),$M23&gt;(ROW(PLE.lastrow)-ROW(PLE.firstrow))),0,IF(OFFSET(PLE!$G$14,$M23,BD$13)="",10^12,OFFSET(PLE!$G$14,$M23,BD$13))))</f>
        <v>1000000000000</v>
      </c>
      <c r="BE23" s="216">
        <f ca="1">IF($D23&lt;&gt;"Serviço",0,IF(OR(AND(AUTOEVENTO="Manual",$M23=1),$M23&gt;(ROW(PLE.lastrow)-ROW(PLE.firstrow))),0,IF(OFFSET(PLE!$G$14,$M23,BE$13)="",10^12,OFFSET(PLE!$G$14,$M23,BE$13))))</f>
        <v>1000000000000</v>
      </c>
      <c r="BF23" s="216">
        <f ca="1">IF($D23&lt;&gt;"Serviço",0,IF(OR(AND(AUTOEVENTO="Manual",$M23=1),$M23&gt;(ROW(PLE.lastrow)-ROW(PLE.firstrow))),0,IF(OFFSET(PLE!$G$14,$M23,BF$13)="",10^12,OFFSET(PLE!$G$14,$M23,BF$13))))</f>
        <v>1000000000000</v>
      </c>
      <c r="BG23" s="216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12.75" x14ac:dyDescent="0.2">
      <c r="A24" s="9" t="str">
        <f t="shared" ca="1" si="8"/>
        <v>2</v>
      </c>
      <c r="B24" s="9" t="str">
        <f ca="1">OFFSET(ORÇAMENTO!C$15,ROW(B24)-ROW(B$15),0)</f>
        <v>S</v>
      </c>
      <c r="C24" s="9" t="str">
        <f ca="1">OFFSET(ORÇAMENTO!L$15,ROW(C24)-ROW(C$15),0)</f>
        <v/>
      </c>
      <c r="D24" s="145" t="str">
        <f ca="1">OFFSET(ORÇAMENTO!N$15,ROW(D24)-ROW(D$15),0)</f>
        <v>Serviço</v>
      </c>
      <c r="E24" s="205" t="str">
        <f ca="1">OFFSET(ORÇAMENTO!O$15,ROW(E24)-ROW(E$15),0)</f>
        <v>-</v>
      </c>
      <c r="F24" s="206" t="str">
        <f ca="1">OFFSET(ORÇAMENTO!R$15,ROW(F24)-ROW(F$15),0)</f>
        <v>(abra o arquivo 'Referência 05-2023.xls)</v>
      </c>
      <c r="G24" s="207" t="str">
        <f ca="1">IF($D24&lt;&gt;"Serviço","",OFFSET(ORÇAMENTO!S$15,ROW(G24)-ROW(G$15),0))</f>
        <v>-</v>
      </c>
      <c r="H24" s="151">
        <f ca="1">IF($D24&lt;&gt;"Serviço",0,IF(ACOMPANHAMENTO="BM",ROUND(OFFSET(ORÇAMENTO!AJ$15,ROW(H24)-ROW(H$15),0),15-13*ORÇAMENTO!$AF$7),SUMPRODUCT(($Q$12:$AA$12&lt;&gt;"")*ROUND($Q24:$AA24,15-13*ORÇAMENTO!$AF$7))))</f>
        <v>0</v>
      </c>
      <c r="I24" s="611"/>
      <c r="K24" s="208"/>
      <c r="L24" s="209" t="s">
        <v>254</v>
      </c>
      <c r="M24" s="210">
        <f ca="1">IF($D24&lt;&gt;"Serviço","",IF(AUTOEVENTO="manual",$A24,IF(ISERROR(MATCH($A24,$A$15:OFFSET($A24,-1,0),0)),MAX($M$15:OFFSET(M24,-1,0))+1,INDEX($M$15:OFFSET(M24,-1,0),MATCH($A24,$A$15:OFFSET($A24,-1,0),0)))))</f>
        <v>2</v>
      </c>
      <c r="N24" s="211" t="str">
        <f ca="1">IF($D24&lt;&gt;"Serviço","",IF(AUTOEVENTO="Manual",IF($A24=0,"&lt;-- defina o número do agrupador",OFFSET(EVENTOS!$D$14,$A24,0)),OFFSET($F$15,$A24,0)))</f>
        <v>SERVIÇOS PRELIMINARES</v>
      </c>
      <c r="O24" s="212"/>
      <c r="Q24" s="212"/>
      <c r="R24" s="213"/>
      <c r="S24" s="213"/>
      <c r="T24" s="213"/>
      <c r="U24" s="213"/>
      <c r="V24" s="213"/>
      <c r="W24" s="213"/>
      <c r="X24" s="213"/>
      <c r="Y24" s="213"/>
      <c r="Z24" s="214"/>
      <c r="AB24" s="592">
        <f ca="1">IF(AND($D24="Serviço",AB$12&lt;&gt;0,$H24&gt;0,OR(AUTOEVENTO&lt;&gt;"manual",$M24&lt;&gt;1)),ROUND(OFFSET($P24,0,AB$13),15-13*ORÇAMENTO!$AF$7)/$H24*OFFSET(ORÇAMENTO!$X$15,ROW(AB24)-ROW(AB$15),0),0)</f>
        <v>0</v>
      </c>
      <c r="AC24" s="593">
        <f ca="1">IF(AND($D24="Serviço",AC$12&lt;&gt;0,$H24&gt;0,OR(AUTOEVENTO&lt;&gt;"manual",$M24&lt;&gt;1)),ROUND(OFFSET($P24,0,AC$13),15-13*ORÇAMENTO!$AF$7)/$H24*OFFSET(ORÇAMENTO!$X$15,ROW(AC24)-ROW(AC$15),0),0)</f>
        <v>0</v>
      </c>
      <c r="AD24" s="593">
        <f ca="1">IF(AND($D24="Serviço",AD$12&lt;&gt;0,$H24&gt;0,OR(AUTOEVENTO&lt;&gt;"manual",$M24&lt;&gt;1)),ROUND(OFFSET($P24,0,AD$13),15-13*ORÇAMENTO!$AF$7)/$H24*OFFSET(ORÇAMENTO!$X$15,ROW(AD24)-ROW(AD$15),0),0)</f>
        <v>0</v>
      </c>
      <c r="AE24" s="593">
        <f ca="1">IF(AND($D24="Serviço",AE$12&lt;&gt;0,$H24&gt;0,OR(AUTOEVENTO&lt;&gt;"manual",$M24&lt;&gt;1)),ROUND(OFFSET($P24,0,AE$13),15-13*ORÇAMENTO!$AF$7)/$H24*OFFSET(ORÇAMENTO!$X$15,ROW(AE24)-ROW(AE$15),0),0)</f>
        <v>0</v>
      </c>
      <c r="AF24" s="593">
        <f ca="1">IF(AND($D24="Serviço",AF$12&lt;&gt;0,$H24&gt;0,OR(AUTOEVENTO&lt;&gt;"manual",$M24&lt;&gt;1)),ROUND(OFFSET($P24,0,AF$13),15-13*ORÇAMENTO!$AF$7)/$H24*OFFSET(ORÇAMENTO!$X$15,ROW(AF24)-ROW(AF$15),0),0)</f>
        <v>0</v>
      </c>
      <c r="AG24" s="593">
        <f ca="1">IF(AND($D24="Serviço",AG$12&lt;&gt;0,$H24&gt;0,OR(AUTOEVENTO&lt;&gt;"manual",$M24&lt;&gt;1)),ROUND(OFFSET($P24,0,AG$13),15-13*ORÇAMENTO!$AF$7)/$H24*OFFSET(ORÇAMENTO!$X$15,ROW(AG24)-ROW(AG$15),0),0)</f>
        <v>0</v>
      </c>
      <c r="AH24" s="593">
        <f ca="1">IF(AND($D24="Serviço",AH$12&lt;&gt;0,$H24&gt;0,OR(AUTOEVENTO&lt;&gt;"manual",$M24&lt;&gt;1)),ROUND(OFFSET($P24,0,AH$13),15-13*ORÇAMENTO!$AF$7)/$H24*OFFSET(ORÇAMENTO!$X$15,ROW(AH24)-ROW(AH$15),0),0)</f>
        <v>0</v>
      </c>
      <c r="AI24" s="593">
        <f ca="1">IF(AND($D24="Serviço",AI$12&lt;&gt;0,$H24&gt;0,OR(AUTOEVENTO&lt;&gt;"manual",$M24&lt;&gt;1)),ROUND(OFFSET($P24,0,AI$13),15-13*ORÇAMENTO!$AF$7)/$H24*OFFSET(ORÇAMENTO!$X$15,ROW(AI24)-ROW(AI$15),0),0)</f>
        <v>0</v>
      </c>
      <c r="AJ24" s="593">
        <f ca="1">IF(AND($D24="Serviço",AJ$12&lt;&gt;0,$H24&gt;0,OR(AUTOEVENTO&lt;&gt;"manual",$M24&lt;&gt;1)),ROUND(OFFSET($P24,0,AJ$13),15-13*ORÇAMENTO!$AF$7)/$H24*OFFSET(ORÇAMENTO!$X$15,ROW(AJ24)-ROW(AJ$15),0),0)</f>
        <v>0</v>
      </c>
      <c r="AK24" s="594">
        <f ca="1">IF(AND($D24="Serviço",AK$12&lt;&gt;0,$H24&gt;0,OR(AUTOEVENTO&lt;&gt;"manual",$M24&lt;&gt;1)),ROUND(OFFSET($P24,0,AK$13),15-13*ORÇAMENTO!$AF$7)/$H24*OFFSET(ORÇAMENTO!$X$15,ROW(AK24)-ROW(AK$15),0),0)</f>
        <v>0</v>
      </c>
      <c r="AM24" s="215">
        <f ca="1">IF($D24&lt;&gt;"Serviço",0,IF(AND(AUTOEVENTO="Manual",$M24=1),0,IF(OFFSET(CRONOPLE!$F$14,$M24,AM$13)="",10^12,OFFSET(CRONOPLE!$F$14,$M24,AM$13))))</f>
        <v>1</v>
      </c>
      <c r="AN24" s="215">
        <f ca="1">IF($D24&lt;&gt;"Serviço",0,IF(AND(AUTOEVENTO="Manual",$M24=1),0,IF(OFFSET(CRONOPLE!$F$14,$M24,AN$13)="",10^12,OFFSET(CRONOPLE!$F$14,$M24,AN$13))))</f>
        <v>1000000000000</v>
      </c>
      <c r="AO24" s="215">
        <f ca="1">IF($D24&lt;&gt;"Serviço",0,IF(AND(AUTOEVENTO="Manual",$M24=1),0,IF(OFFSET(CRONOPLE!$F$14,$M24,AO$13)="",10^12,OFFSET(CRONOPLE!$F$14,$M24,AO$13))))</f>
        <v>1000000000000</v>
      </c>
      <c r="AP24" s="215">
        <f ca="1">IF($D24&lt;&gt;"Serviço",0,IF(AND(AUTOEVENTO="Manual",$M24=1),0,IF(OFFSET(CRONOPLE!$F$14,$M24,AP$13)="",10^12,OFFSET(CRONOPLE!$F$14,$M24,AP$13))))</f>
        <v>1000000000000</v>
      </c>
      <c r="AQ24" s="215">
        <f ca="1">IF($D24&lt;&gt;"Serviço",0,IF(AND(AUTOEVENTO="Manual",$M24=1),0,IF(OFFSET(CRONOPLE!$F$14,$M24,AQ$13)="",10^12,OFFSET(CRONOPLE!$F$14,$M24,AQ$13))))</f>
        <v>1000000000000</v>
      </c>
      <c r="AR24" s="215">
        <f ca="1">IF($D24&lt;&gt;"Serviço",0,IF(AND(AUTOEVENTO="Manual",$M24=1),0,IF(OFFSET(CRONOPLE!$F$14,$M24,AR$13)="",10^12,OFFSET(CRONOPLE!$F$14,$M24,AR$13))))</f>
        <v>1000000000000</v>
      </c>
      <c r="AS24" s="215">
        <f ca="1">IF($D24&lt;&gt;"Serviço",0,IF(AND(AUTOEVENTO="Manual",$M24=1),0,IF(OFFSET(CRONOPLE!$F$14,$M24,AS$13)="",10^12,OFFSET(CRONOPLE!$F$14,$M24,AS$13))))</f>
        <v>1000000000000</v>
      </c>
      <c r="AT24" s="215">
        <f ca="1">IF($D24&lt;&gt;"Serviço",0,IF(AND(AUTOEVENTO="Manual",$M24=1),0,IF(OFFSET(CRONOPLE!$F$14,$M24,AT$13)="",10^12,OFFSET(CRONOPLE!$F$14,$M24,AT$13))))</f>
        <v>1000000000000</v>
      </c>
      <c r="AU24" s="215">
        <f ca="1">IF($D24&lt;&gt;"Serviço",0,IF(AND(AUTOEVENTO="Manual",$M24=1),0,IF(OFFSET(CRONOPLE!$F$14,$M24,AU$13)="",10^12,OFFSET(CRONOPLE!$F$14,$M24,AU$13))))</f>
        <v>1000000000000</v>
      </c>
      <c r="AV24" s="215">
        <f ca="1">IF($D24&lt;&gt;"Serviço",0,IF(AND(AUTOEVENTO="Manual",$M24=1),0,IF(OFFSET(CRONOPLE!$F$14,$M24,AV$13)="",10^12,OFFSET(CRONOPLE!$F$14,$M24,AV$13))))</f>
        <v>1000000000000</v>
      </c>
      <c r="AX24" s="216">
        <f ca="1">IF($D24&lt;&gt;"Serviço",0,IF(OR(AND(AUTOEVENTO="Manual",$M24=1),$M24&gt;(ROW(PLE.lastrow)-ROW(PLE.firstrow))),0,IF(OFFSET(PLE!$G$14,$M24,AX$13)="",10^12,OFFSET(PLE!$G$14,$M24,AX$13))))</f>
        <v>1</v>
      </c>
      <c r="AY24" s="216">
        <f ca="1">IF($D24&lt;&gt;"Serviço",0,IF(OR(AND(AUTOEVENTO="Manual",$M24=1),$M24&gt;(ROW(PLE.lastrow)-ROW(PLE.firstrow))),0,IF(OFFSET(PLE!$G$14,$M24,AY$13)="",10^12,OFFSET(PLE!$G$14,$M24,AY$13))))</f>
        <v>1000000000000</v>
      </c>
      <c r="AZ24" s="216">
        <f ca="1">IF($D24&lt;&gt;"Serviço",0,IF(OR(AND(AUTOEVENTO="Manual",$M24=1),$M24&gt;(ROW(PLE.lastrow)-ROW(PLE.firstrow))),0,IF(OFFSET(PLE!$G$14,$M24,AZ$13)="",10^12,OFFSET(PLE!$G$14,$M24,AZ$13))))</f>
        <v>1000000000000</v>
      </c>
      <c r="BA24" s="216">
        <f ca="1">IF($D24&lt;&gt;"Serviço",0,IF(OR(AND(AUTOEVENTO="Manual",$M24=1),$M24&gt;(ROW(PLE.lastrow)-ROW(PLE.firstrow))),0,IF(OFFSET(PLE!$G$14,$M24,BA$13)="",10^12,OFFSET(PLE!$G$14,$M24,BA$13))))</f>
        <v>1000000000000</v>
      </c>
      <c r="BB24" s="216">
        <f ca="1">IF($D24&lt;&gt;"Serviço",0,IF(OR(AND(AUTOEVENTO="Manual",$M24=1),$M24&gt;(ROW(PLE.lastrow)-ROW(PLE.firstrow))),0,IF(OFFSET(PLE!$G$14,$M24,BB$13)="",10^12,OFFSET(PLE!$G$14,$M24,BB$13))))</f>
        <v>1000000000000</v>
      </c>
      <c r="BC24" s="216">
        <f ca="1">IF($D24&lt;&gt;"Serviço",0,IF(OR(AND(AUTOEVENTO="Manual",$M24=1),$M24&gt;(ROW(PLE.lastrow)-ROW(PLE.firstrow))),0,IF(OFFSET(PLE!$G$14,$M24,BC$13)="",10^12,OFFSET(PLE!$G$14,$M24,BC$13))))</f>
        <v>1000000000000</v>
      </c>
      <c r="BD24" s="216">
        <f ca="1">IF($D24&lt;&gt;"Serviço",0,IF(OR(AND(AUTOEVENTO="Manual",$M24=1),$M24&gt;(ROW(PLE.lastrow)-ROW(PLE.firstrow))),0,IF(OFFSET(PLE!$G$14,$M24,BD$13)="",10^12,OFFSET(PLE!$G$14,$M24,BD$13))))</f>
        <v>1000000000000</v>
      </c>
      <c r="BE24" s="216">
        <f ca="1">IF($D24&lt;&gt;"Serviço",0,IF(OR(AND(AUTOEVENTO="Manual",$M24=1),$M24&gt;(ROW(PLE.lastrow)-ROW(PLE.firstrow))),0,IF(OFFSET(PLE!$G$14,$M24,BE$13)="",10^12,OFFSET(PLE!$G$14,$M24,BE$13))))</f>
        <v>1000000000000</v>
      </c>
      <c r="BF24" s="216">
        <f ca="1">IF($D24&lt;&gt;"Serviço",0,IF(OR(AND(AUTOEVENTO="Manual",$M24=1),$M24&gt;(ROW(PLE.lastrow)-ROW(PLE.firstrow))),0,IF(OFFSET(PLE!$G$14,$M24,BF$13)="",10^12,OFFSET(PLE!$G$14,$M24,BF$13))))</f>
        <v>1000000000000</v>
      </c>
      <c r="BG24" s="216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x14ac:dyDescent="0.2">
      <c r="A25" s="9" t="str">
        <f t="shared" ca="1" si="8"/>
        <v>2</v>
      </c>
      <c r="B25" s="9" t="str">
        <f ca="1">OFFSET(ORÇAMENTO!C$15,ROW(B25)-ROW(B$15),0)</f>
        <v>S</v>
      </c>
      <c r="C25" s="9" t="str">
        <f ca="1">OFFSET(ORÇAMENTO!L$15,ROW(C25)-ROW(C$15),0)</f>
        <v/>
      </c>
      <c r="D25" s="145" t="str">
        <f ca="1">OFFSET(ORÇAMENTO!N$15,ROW(D25)-ROW(D$15),0)</f>
        <v>Serviço</v>
      </c>
      <c r="E25" s="205" t="str">
        <f ca="1">OFFSET(ORÇAMENTO!O$15,ROW(E25)-ROW(E$15),0)</f>
        <v>-</v>
      </c>
      <c r="F25" s="206" t="str">
        <f ca="1">OFFSET(ORÇAMENTO!R$15,ROW(F25)-ROW(F$15),0)</f>
        <v>(abra o arquivo 'Referência 05-2023.xls)</v>
      </c>
      <c r="G25" s="207" t="str">
        <f ca="1">IF($D25&lt;&gt;"Serviço","",OFFSET(ORÇAMENTO!S$15,ROW(G25)-ROW(G$15),0))</f>
        <v>-</v>
      </c>
      <c r="H25" s="151">
        <f ca="1">IF($D25&lt;&gt;"Serviço",0,IF(ACOMPANHAMENTO="BM",ROUND(OFFSET(ORÇAMENTO!AJ$15,ROW(H25)-ROW(H$15),0),15-13*ORÇAMENTO!$AF$7),SUMPRODUCT(($Q$12:$AA$12&lt;&gt;"")*ROUND($Q25:$AA25,15-13*ORÇAMENTO!$AF$7))))</f>
        <v>0</v>
      </c>
      <c r="I25" s="611"/>
      <c r="K25" s="208"/>
      <c r="L25" s="209" t="s">
        <v>254</v>
      </c>
      <c r="M25" s="210">
        <f ca="1">IF($D25&lt;&gt;"Serviço","",IF(AUTOEVENTO="manual",$A25,IF(ISERROR(MATCH($A25,$A$15:OFFSET($A25,-1,0),0)),MAX($M$15:OFFSET(M25,-1,0))+1,INDEX($M$15:OFFSET(M25,-1,0),MATCH($A25,$A$15:OFFSET($A25,-1,0),0)))))</f>
        <v>2</v>
      </c>
      <c r="N25" s="211" t="str">
        <f ca="1">IF($D25&lt;&gt;"Serviço","",IF(AUTOEVENTO="Manual",IF($A25=0,"&lt;-- defina o número do agrupador",OFFSET(EVENTOS!$D$14,$A25,0)),OFFSET($F$15,$A25,0)))</f>
        <v>SERVIÇOS PRELIMINARES</v>
      </c>
      <c r="O25" s="212"/>
      <c r="Q25" s="212"/>
      <c r="R25" s="213"/>
      <c r="S25" s="213"/>
      <c r="T25" s="213"/>
      <c r="U25" s="213"/>
      <c r="V25" s="213"/>
      <c r="W25" s="213"/>
      <c r="X25" s="213"/>
      <c r="Y25" s="213"/>
      <c r="Z25" s="214"/>
      <c r="AB25" s="592">
        <f ca="1">IF(AND($D25="Serviço",AB$12&lt;&gt;0,$H25&gt;0,OR(AUTOEVENTO&lt;&gt;"manual",$M25&lt;&gt;1)),ROUND(OFFSET($P25,0,AB$13),15-13*ORÇAMENTO!$AF$7)/$H25*OFFSET(ORÇAMENTO!$X$15,ROW(AB25)-ROW(AB$15),0),0)</f>
        <v>0</v>
      </c>
      <c r="AC25" s="593">
        <f ca="1">IF(AND($D25="Serviço",AC$12&lt;&gt;0,$H25&gt;0,OR(AUTOEVENTO&lt;&gt;"manual",$M25&lt;&gt;1)),ROUND(OFFSET($P25,0,AC$13),15-13*ORÇAMENTO!$AF$7)/$H25*OFFSET(ORÇAMENTO!$X$15,ROW(AC25)-ROW(AC$15),0),0)</f>
        <v>0</v>
      </c>
      <c r="AD25" s="593">
        <f ca="1">IF(AND($D25="Serviço",AD$12&lt;&gt;0,$H25&gt;0,OR(AUTOEVENTO&lt;&gt;"manual",$M25&lt;&gt;1)),ROUND(OFFSET($P25,0,AD$13),15-13*ORÇAMENTO!$AF$7)/$H25*OFFSET(ORÇAMENTO!$X$15,ROW(AD25)-ROW(AD$15),0),0)</f>
        <v>0</v>
      </c>
      <c r="AE25" s="593">
        <f ca="1">IF(AND($D25="Serviço",AE$12&lt;&gt;0,$H25&gt;0,OR(AUTOEVENTO&lt;&gt;"manual",$M25&lt;&gt;1)),ROUND(OFFSET($P25,0,AE$13),15-13*ORÇAMENTO!$AF$7)/$H25*OFFSET(ORÇAMENTO!$X$15,ROW(AE25)-ROW(AE$15),0),0)</f>
        <v>0</v>
      </c>
      <c r="AF25" s="593">
        <f ca="1">IF(AND($D25="Serviço",AF$12&lt;&gt;0,$H25&gt;0,OR(AUTOEVENTO&lt;&gt;"manual",$M25&lt;&gt;1)),ROUND(OFFSET($P25,0,AF$13),15-13*ORÇAMENTO!$AF$7)/$H25*OFFSET(ORÇAMENTO!$X$15,ROW(AF25)-ROW(AF$15),0),0)</f>
        <v>0</v>
      </c>
      <c r="AG25" s="593">
        <f ca="1">IF(AND($D25="Serviço",AG$12&lt;&gt;0,$H25&gt;0,OR(AUTOEVENTO&lt;&gt;"manual",$M25&lt;&gt;1)),ROUND(OFFSET($P25,0,AG$13),15-13*ORÇAMENTO!$AF$7)/$H25*OFFSET(ORÇAMENTO!$X$15,ROW(AG25)-ROW(AG$15),0),0)</f>
        <v>0</v>
      </c>
      <c r="AH25" s="593">
        <f ca="1">IF(AND($D25="Serviço",AH$12&lt;&gt;0,$H25&gt;0,OR(AUTOEVENTO&lt;&gt;"manual",$M25&lt;&gt;1)),ROUND(OFFSET($P25,0,AH$13),15-13*ORÇAMENTO!$AF$7)/$H25*OFFSET(ORÇAMENTO!$X$15,ROW(AH25)-ROW(AH$15),0),0)</f>
        <v>0</v>
      </c>
      <c r="AI25" s="593">
        <f ca="1">IF(AND($D25="Serviço",AI$12&lt;&gt;0,$H25&gt;0,OR(AUTOEVENTO&lt;&gt;"manual",$M25&lt;&gt;1)),ROUND(OFFSET($P25,0,AI$13),15-13*ORÇAMENTO!$AF$7)/$H25*OFFSET(ORÇAMENTO!$X$15,ROW(AI25)-ROW(AI$15),0),0)</f>
        <v>0</v>
      </c>
      <c r="AJ25" s="593">
        <f ca="1">IF(AND($D25="Serviço",AJ$12&lt;&gt;0,$H25&gt;0,OR(AUTOEVENTO&lt;&gt;"manual",$M25&lt;&gt;1)),ROUND(OFFSET($P25,0,AJ$13),15-13*ORÇAMENTO!$AF$7)/$H25*OFFSET(ORÇAMENTO!$X$15,ROW(AJ25)-ROW(AJ$15),0),0)</f>
        <v>0</v>
      </c>
      <c r="AK25" s="594">
        <f ca="1">IF(AND($D25="Serviço",AK$12&lt;&gt;0,$H25&gt;0,OR(AUTOEVENTO&lt;&gt;"manual",$M25&lt;&gt;1)),ROUND(OFFSET($P25,0,AK$13),15-13*ORÇAMENTO!$AF$7)/$H25*OFFSET(ORÇAMENTO!$X$15,ROW(AK25)-ROW(AK$15),0),0)</f>
        <v>0</v>
      </c>
      <c r="AM25" s="215">
        <f ca="1">IF($D25&lt;&gt;"Serviço",0,IF(AND(AUTOEVENTO="Manual",$M25=1),0,IF(OFFSET(CRONOPLE!$F$14,$M25,AM$13)="",10^12,OFFSET(CRONOPLE!$F$14,$M25,AM$13))))</f>
        <v>1</v>
      </c>
      <c r="AN25" s="215">
        <f ca="1">IF($D25&lt;&gt;"Serviço",0,IF(AND(AUTOEVENTO="Manual",$M25=1),0,IF(OFFSET(CRONOPLE!$F$14,$M25,AN$13)="",10^12,OFFSET(CRONOPLE!$F$14,$M25,AN$13))))</f>
        <v>1000000000000</v>
      </c>
      <c r="AO25" s="215">
        <f ca="1">IF($D25&lt;&gt;"Serviço",0,IF(AND(AUTOEVENTO="Manual",$M25=1),0,IF(OFFSET(CRONOPLE!$F$14,$M25,AO$13)="",10^12,OFFSET(CRONOPLE!$F$14,$M25,AO$13))))</f>
        <v>1000000000000</v>
      </c>
      <c r="AP25" s="215">
        <f ca="1">IF($D25&lt;&gt;"Serviço",0,IF(AND(AUTOEVENTO="Manual",$M25=1),0,IF(OFFSET(CRONOPLE!$F$14,$M25,AP$13)="",10^12,OFFSET(CRONOPLE!$F$14,$M25,AP$13))))</f>
        <v>1000000000000</v>
      </c>
      <c r="AQ25" s="215">
        <f ca="1">IF($D25&lt;&gt;"Serviço",0,IF(AND(AUTOEVENTO="Manual",$M25=1),0,IF(OFFSET(CRONOPLE!$F$14,$M25,AQ$13)="",10^12,OFFSET(CRONOPLE!$F$14,$M25,AQ$13))))</f>
        <v>1000000000000</v>
      </c>
      <c r="AR25" s="215">
        <f ca="1">IF($D25&lt;&gt;"Serviço",0,IF(AND(AUTOEVENTO="Manual",$M25=1),0,IF(OFFSET(CRONOPLE!$F$14,$M25,AR$13)="",10^12,OFFSET(CRONOPLE!$F$14,$M25,AR$13))))</f>
        <v>1000000000000</v>
      </c>
      <c r="AS25" s="215">
        <f ca="1">IF($D25&lt;&gt;"Serviço",0,IF(AND(AUTOEVENTO="Manual",$M25=1),0,IF(OFFSET(CRONOPLE!$F$14,$M25,AS$13)="",10^12,OFFSET(CRONOPLE!$F$14,$M25,AS$13))))</f>
        <v>1000000000000</v>
      </c>
      <c r="AT25" s="215">
        <f ca="1">IF($D25&lt;&gt;"Serviço",0,IF(AND(AUTOEVENTO="Manual",$M25=1),0,IF(OFFSET(CRONOPLE!$F$14,$M25,AT$13)="",10^12,OFFSET(CRONOPLE!$F$14,$M25,AT$13))))</f>
        <v>1000000000000</v>
      </c>
      <c r="AU25" s="215">
        <f ca="1">IF($D25&lt;&gt;"Serviço",0,IF(AND(AUTOEVENTO="Manual",$M25=1),0,IF(OFFSET(CRONOPLE!$F$14,$M25,AU$13)="",10^12,OFFSET(CRONOPLE!$F$14,$M25,AU$13))))</f>
        <v>1000000000000</v>
      </c>
      <c r="AV25" s="215">
        <f ca="1">IF($D25&lt;&gt;"Serviço",0,IF(AND(AUTOEVENTO="Manual",$M25=1),0,IF(OFFSET(CRONOPLE!$F$14,$M25,AV$13)="",10^12,OFFSET(CRONOPLE!$F$14,$M25,AV$13))))</f>
        <v>1000000000000</v>
      </c>
      <c r="AX25" s="216">
        <f ca="1">IF($D25&lt;&gt;"Serviço",0,IF(OR(AND(AUTOEVENTO="Manual",$M25=1),$M25&gt;(ROW(PLE.lastrow)-ROW(PLE.firstrow))),0,IF(OFFSET(PLE!$G$14,$M25,AX$13)="",10^12,OFFSET(PLE!$G$14,$M25,AX$13))))</f>
        <v>1</v>
      </c>
      <c r="AY25" s="216">
        <f ca="1">IF($D25&lt;&gt;"Serviço",0,IF(OR(AND(AUTOEVENTO="Manual",$M25=1),$M25&gt;(ROW(PLE.lastrow)-ROW(PLE.firstrow))),0,IF(OFFSET(PLE!$G$14,$M25,AY$13)="",10^12,OFFSET(PLE!$G$14,$M25,AY$13))))</f>
        <v>1000000000000</v>
      </c>
      <c r="AZ25" s="216">
        <f ca="1">IF($D25&lt;&gt;"Serviço",0,IF(OR(AND(AUTOEVENTO="Manual",$M25=1),$M25&gt;(ROW(PLE.lastrow)-ROW(PLE.firstrow))),0,IF(OFFSET(PLE!$G$14,$M25,AZ$13)="",10^12,OFFSET(PLE!$G$14,$M25,AZ$13))))</f>
        <v>1000000000000</v>
      </c>
      <c r="BA25" s="216">
        <f ca="1">IF($D25&lt;&gt;"Serviço",0,IF(OR(AND(AUTOEVENTO="Manual",$M25=1),$M25&gt;(ROW(PLE.lastrow)-ROW(PLE.firstrow))),0,IF(OFFSET(PLE!$G$14,$M25,BA$13)="",10^12,OFFSET(PLE!$G$14,$M25,BA$13))))</f>
        <v>1000000000000</v>
      </c>
      <c r="BB25" s="216">
        <f ca="1">IF($D25&lt;&gt;"Serviço",0,IF(OR(AND(AUTOEVENTO="Manual",$M25=1),$M25&gt;(ROW(PLE.lastrow)-ROW(PLE.firstrow))),0,IF(OFFSET(PLE!$G$14,$M25,BB$13)="",10^12,OFFSET(PLE!$G$14,$M25,BB$13))))</f>
        <v>1000000000000</v>
      </c>
      <c r="BC25" s="216">
        <f ca="1">IF($D25&lt;&gt;"Serviço",0,IF(OR(AND(AUTOEVENTO="Manual",$M25=1),$M25&gt;(ROW(PLE.lastrow)-ROW(PLE.firstrow))),0,IF(OFFSET(PLE!$G$14,$M25,BC$13)="",10^12,OFFSET(PLE!$G$14,$M25,BC$13))))</f>
        <v>1000000000000</v>
      </c>
      <c r="BD25" s="216">
        <f ca="1">IF($D25&lt;&gt;"Serviço",0,IF(OR(AND(AUTOEVENTO="Manual",$M25=1),$M25&gt;(ROW(PLE.lastrow)-ROW(PLE.firstrow))),0,IF(OFFSET(PLE!$G$14,$M25,BD$13)="",10^12,OFFSET(PLE!$G$14,$M25,BD$13))))</f>
        <v>1000000000000</v>
      </c>
      <c r="BE25" s="216">
        <f ca="1">IF($D25&lt;&gt;"Serviço",0,IF(OR(AND(AUTOEVENTO="Manual",$M25=1),$M25&gt;(ROW(PLE.lastrow)-ROW(PLE.firstrow))),0,IF(OFFSET(PLE!$G$14,$M25,BE$13)="",10^12,OFFSET(PLE!$G$14,$M25,BE$13))))</f>
        <v>1000000000000</v>
      </c>
      <c r="BF25" s="216">
        <f ca="1">IF($D25&lt;&gt;"Serviço",0,IF(OR(AND(AUTOEVENTO="Manual",$M25=1),$M25&gt;(ROW(PLE.lastrow)-ROW(PLE.firstrow))),0,IF(OFFSET(PLE!$G$14,$M25,BF$13)="",10^12,OFFSET(PLE!$G$14,$M25,BF$13))))</f>
        <v>1000000000000</v>
      </c>
      <c r="BG25" s="216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x14ac:dyDescent="0.2">
      <c r="A26" s="9" t="str">
        <f t="shared" ca="1" si="8"/>
        <v>2</v>
      </c>
      <c r="B26" s="9" t="str">
        <f ca="1">OFFSET(ORÇAMENTO!C$15,ROW(B26)-ROW(B$15),0)</f>
        <v>S</v>
      </c>
      <c r="C26" s="9" t="str">
        <f ca="1">OFFSET(ORÇAMENTO!L$15,ROW(C26)-ROW(C$15),0)</f>
        <v/>
      </c>
      <c r="D26" s="145" t="str">
        <f ca="1">OFFSET(ORÇAMENTO!N$15,ROW(D26)-ROW(D$15),0)</f>
        <v>Serviço</v>
      </c>
      <c r="E26" s="205" t="str">
        <f ca="1">OFFSET(ORÇAMENTO!O$15,ROW(E26)-ROW(E$15),0)</f>
        <v>-</v>
      </c>
      <c r="F26" s="206" t="str">
        <f ca="1">OFFSET(ORÇAMENTO!R$15,ROW(F26)-ROW(F$15),0)</f>
        <v>(abra o arquivo 'Referência 05-2023.xls)</v>
      </c>
      <c r="G26" s="207" t="str">
        <f ca="1">IF($D26&lt;&gt;"Serviço","",OFFSET(ORÇAMENTO!S$15,ROW(G26)-ROW(G$15),0))</f>
        <v>-</v>
      </c>
      <c r="H26" s="151">
        <f ca="1">IF($D26&lt;&gt;"Serviço",0,IF(ACOMPANHAMENTO="BM",ROUND(OFFSET(ORÇAMENTO!AJ$15,ROW(H26)-ROW(H$15),0),15-13*ORÇAMENTO!$AF$7),SUMPRODUCT(($Q$12:$AA$12&lt;&gt;"")*ROUND($Q26:$AA26,15-13*ORÇAMENTO!$AF$7))))</f>
        <v>0</v>
      </c>
      <c r="I26" s="611"/>
      <c r="K26" s="208"/>
      <c r="L26" s="209" t="s">
        <v>254</v>
      </c>
      <c r="M26" s="210">
        <f ca="1">IF($D26&lt;&gt;"Serviço","",IF(AUTOEVENTO="manual",$A26,IF(ISERROR(MATCH($A26,$A$15:OFFSET($A26,-1,0),0)),MAX($M$15:OFFSET(M26,-1,0))+1,INDEX($M$15:OFFSET(M26,-1,0),MATCH($A26,$A$15:OFFSET($A26,-1,0),0)))))</f>
        <v>2</v>
      </c>
      <c r="N26" s="211" t="str">
        <f ca="1">IF($D26&lt;&gt;"Serviço","",IF(AUTOEVENTO="Manual",IF($A26=0,"&lt;-- defina o número do agrupador",OFFSET(EVENTOS!$D$14,$A26,0)),OFFSET($F$15,$A26,0)))</f>
        <v>SERVIÇOS PRELIMINARES</v>
      </c>
      <c r="O26" s="212"/>
      <c r="Q26" s="212"/>
      <c r="R26" s="213"/>
      <c r="S26" s="213"/>
      <c r="T26" s="213"/>
      <c r="U26" s="213"/>
      <c r="V26" s="213"/>
      <c r="W26" s="213"/>
      <c r="X26" s="213"/>
      <c r="Y26" s="213"/>
      <c r="Z26" s="214"/>
      <c r="AB26" s="592">
        <f ca="1">IF(AND($D26="Serviço",AB$12&lt;&gt;0,$H26&gt;0,OR(AUTOEVENTO&lt;&gt;"manual",$M26&lt;&gt;1)),ROUND(OFFSET($P26,0,AB$13),15-13*ORÇAMENTO!$AF$7)/$H26*OFFSET(ORÇAMENTO!$X$15,ROW(AB26)-ROW(AB$15),0),0)</f>
        <v>0</v>
      </c>
      <c r="AC26" s="593">
        <f ca="1">IF(AND($D26="Serviço",AC$12&lt;&gt;0,$H26&gt;0,OR(AUTOEVENTO&lt;&gt;"manual",$M26&lt;&gt;1)),ROUND(OFFSET($P26,0,AC$13),15-13*ORÇAMENTO!$AF$7)/$H26*OFFSET(ORÇAMENTO!$X$15,ROW(AC26)-ROW(AC$15),0),0)</f>
        <v>0</v>
      </c>
      <c r="AD26" s="593">
        <f ca="1">IF(AND($D26="Serviço",AD$12&lt;&gt;0,$H26&gt;0,OR(AUTOEVENTO&lt;&gt;"manual",$M26&lt;&gt;1)),ROUND(OFFSET($P26,0,AD$13),15-13*ORÇAMENTO!$AF$7)/$H26*OFFSET(ORÇAMENTO!$X$15,ROW(AD26)-ROW(AD$15),0),0)</f>
        <v>0</v>
      </c>
      <c r="AE26" s="593">
        <f ca="1">IF(AND($D26="Serviço",AE$12&lt;&gt;0,$H26&gt;0,OR(AUTOEVENTO&lt;&gt;"manual",$M26&lt;&gt;1)),ROUND(OFFSET($P26,0,AE$13),15-13*ORÇAMENTO!$AF$7)/$H26*OFFSET(ORÇAMENTO!$X$15,ROW(AE26)-ROW(AE$15),0),0)</f>
        <v>0</v>
      </c>
      <c r="AF26" s="593">
        <f ca="1">IF(AND($D26="Serviço",AF$12&lt;&gt;0,$H26&gt;0,OR(AUTOEVENTO&lt;&gt;"manual",$M26&lt;&gt;1)),ROUND(OFFSET($P26,0,AF$13),15-13*ORÇAMENTO!$AF$7)/$H26*OFFSET(ORÇAMENTO!$X$15,ROW(AF26)-ROW(AF$15),0),0)</f>
        <v>0</v>
      </c>
      <c r="AG26" s="593">
        <f ca="1">IF(AND($D26="Serviço",AG$12&lt;&gt;0,$H26&gt;0,OR(AUTOEVENTO&lt;&gt;"manual",$M26&lt;&gt;1)),ROUND(OFFSET($P26,0,AG$13),15-13*ORÇAMENTO!$AF$7)/$H26*OFFSET(ORÇAMENTO!$X$15,ROW(AG26)-ROW(AG$15),0),0)</f>
        <v>0</v>
      </c>
      <c r="AH26" s="593">
        <f ca="1">IF(AND($D26="Serviço",AH$12&lt;&gt;0,$H26&gt;0,OR(AUTOEVENTO&lt;&gt;"manual",$M26&lt;&gt;1)),ROUND(OFFSET($P26,0,AH$13),15-13*ORÇAMENTO!$AF$7)/$H26*OFFSET(ORÇAMENTO!$X$15,ROW(AH26)-ROW(AH$15),0),0)</f>
        <v>0</v>
      </c>
      <c r="AI26" s="593">
        <f ca="1">IF(AND($D26="Serviço",AI$12&lt;&gt;0,$H26&gt;0,OR(AUTOEVENTO&lt;&gt;"manual",$M26&lt;&gt;1)),ROUND(OFFSET($P26,0,AI$13),15-13*ORÇAMENTO!$AF$7)/$H26*OFFSET(ORÇAMENTO!$X$15,ROW(AI26)-ROW(AI$15),0),0)</f>
        <v>0</v>
      </c>
      <c r="AJ26" s="593">
        <f ca="1">IF(AND($D26="Serviço",AJ$12&lt;&gt;0,$H26&gt;0,OR(AUTOEVENTO&lt;&gt;"manual",$M26&lt;&gt;1)),ROUND(OFFSET($P26,0,AJ$13),15-13*ORÇAMENTO!$AF$7)/$H26*OFFSET(ORÇAMENTO!$X$15,ROW(AJ26)-ROW(AJ$15),0),0)</f>
        <v>0</v>
      </c>
      <c r="AK26" s="594">
        <f ca="1">IF(AND($D26="Serviço",AK$12&lt;&gt;0,$H26&gt;0,OR(AUTOEVENTO&lt;&gt;"manual",$M26&lt;&gt;1)),ROUND(OFFSET($P26,0,AK$13),15-13*ORÇAMENTO!$AF$7)/$H26*OFFSET(ORÇAMENTO!$X$15,ROW(AK26)-ROW(AK$15),0),0)</f>
        <v>0</v>
      </c>
      <c r="AM26" s="215">
        <f ca="1">IF($D26&lt;&gt;"Serviço",0,IF(AND(AUTOEVENTO="Manual",$M26=1),0,IF(OFFSET(CRONOPLE!$F$14,$M26,AM$13)="",10^12,OFFSET(CRONOPLE!$F$14,$M26,AM$13))))</f>
        <v>1</v>
      </c>
      <c r="AN26" s="215">
        <f ca="1">IF($D26&lt;&gt;"Serviço",0,IF(AND(AUTOEVENTO="Manual",$M26=1),0,IF(OFFSET(CRONOPLE!$F$14,$M26,AN$13)="",10^12,OFFSET(CRONOPLE!$F$14,$M26,AN$13))))</f>
        <v>1000000000000</v>
      </c>
      <c r="AO26" s="215">
        <f ca="1">IF($D26&lt;&gt;"Serviço",0,IF(AND(AUTOEVENTO="Manual",$M26=1),0,IF(OFFSET(CRONOPLE!$F$14,$M26,AO$13)="",10^12,OFFSET(CRONOPLE!$F$14,$M26,AO$13))))</f>
        <v>1000000000000</v>
      </c>
      <c r="AP26" s="215">
        <f ca="1">IF($D26&lt;&gt;"Serviço",0,IF(AND(AUTOEVENTO="Manual",$M26=1),0,IF(OFFSET(CRONOPLE!$F$14,$M26,AP$13)="",10^12,OFFSET(CRONOPLE!$F$14,$M26,AP$13))))</f>
        <v>1000000000000</v>
      </c>
      <c r="AQ26" s="215">
        <f ca="1">IF($D26&lt;&gt;"Serviço",0,IF(AND(AUTOEVENTO="Manual",$M26=1),0,IF(OFFSET(CRONOPLE!$F$14,$M26,AQ$13)="",10^12,OFFSET(CRONOPLE!$F$14,$M26,AQ$13))))</f>
        <v>1000000000000</v>
      </c>
      <c r="AR26" s="215">
        <f ca="1">IF($D26&lt;&gt;"Serviço",0,IF(AND(AUTOEVENTO="Manual",$M26=1),0,IF(OFFSET(CRONOPLE!$F$14,$M26,AR$13)="",10^12,OFFSET(CRONOPLE!$F$14,$M26,AR$13))))</f>
        <v>1000000000000</v>
      </c>
      <c r="AS26" s="215">
        <f ca="1">IF($D26&lt;&gt;"Serviço",0,IF(AND(AUTOEVENTO="Manual",$M26=1),0,IF(OFFSET(CRONOPLE!$F$14,$M26,AS$13)="",10^12,OFFSET(CRONOPLE!$F$14,$M26,AS$13))))</f>
        <v>1000000000000</v>
      </c>
      <c r="AT26" s="215">
        <f ca="1">IF($D26&lt;&gt;"Serviço",0,IF(AND(AUTOEVENTO="Manual",$M26=1),0,IF(OFFSET(CRONOPLE!$F$14,$M26,AT$13)="",10^12,OFFSET(CRONOPLE!$F$14,$M26,AT$13))))</f>
        <v>1000000000000</v>
      </c>
      <c r="AU26" s="215">
        <f ca="1">IF($D26&lt;&gt;"Serviço",0,IF(AND(AUTOEVENTO="Manual",$M26=1),0,IF(OFFSET(CRONOPLE!$F$14,$M26,AU$13)="",10^12,OFFSET(CRONOPLE!$F$14,$M26,AU$13))))</f>
        <v>1000000000000</v>
      </c>
      <c r="AV26" s="215">
        <f ca="1">IF($D26&lt;&gt;"Serviço",0,IF(AND(AUTOEVENTO="Manual",$M26=1),0,IF(OFFSET(CRONOPLE!$F$14,$M26,AV$13)="",10^12,OFFSET(CRONOPLE!$F$14,$M26,AV$13))))</f>
        <v>1000000000000</v>
      </c>
      <c r="AX26" s="216">
        <f ca="1">IF($D26&lt;&gt;"Serviço",0,IF(OR(AND(AUTOEVENTO="Manual",$M26=1),$M26&gt;(ROW(PLE.lastrow)-ROW(PLE.firstrow))),0,IF(OFFSET(PLE!$G$14,$M26,AX$13)="",10^12,OFFSET(PLE!$G$14,$M26,AX$13))))</f>
        <v>1</v>
      </c>
      <c r="AY26" s="216">
        <f ca="1">IF($D26&lt;&gt;"Serviço",0,IF(OR(AND(AUTOEVENTO="Manual",$M26=1),$M26&gt;(ROW(PLE.lastrow)-ROW(PLE.firstrow))),0,IF(OFFSET(PLE!$G$14,$M26,AY$13)="",10^12,OFFSET(PLE!$G$14,$M26,AY$13))))</f>
        <v>1000000000000</v>
      </c>
      <c r="AZ26" s="216">
        <f ca="1">IF($D26&lt;&gt;"Serviço",0,IF(OR(AND(AUTOEVENTO="Manual",$M26=1),$M26&gt;(ROW(PLE.lastrow)-ROW(PLE.firstrow))),0,IF(OFFSET(PLE!$G$14,$M26,AZ$13)="",10^12,OFFSET(PLE!$G$14,$M26,AZ$13))))</f>
        <v>1000000000000</v>
      </c>
      <c r="BA26" s="216">
        <f ca="1">IF($D26&lt;&gt;"Serviço",0,IF(OR(AND(AUTOEVENTO="Manual",$M26=1),$M26&gt;(ROW(PLE.lastrow)-ROW(PLE.firstrow))),0,IF(OFFSET(PLE!$G$14,$M26,BA$13)="",10^12,OFFSET(PLE!$G$14,$M26,BA$13))))</f>
        <v>1000000000000</v>
      </c>
      <c r="BB26" s="216">
        <f ca="1">IF($D26&lt;&gt;"Serviço",0,IF(OR(AND(AUTOEVENTO="Manual",$M26=1),$M26&gt;(ROW(PLE.lastrow)-ROW(PLE.firstrow))),0,IF(OFFSET(PLE!$G$14,$M26,BB$13)="",10^12,OFFSET(PLE!$G$14,$M26,BB$13))))</f>
        <v>1000000000000</v>
      </c>
      <c r="BC26" s="216">
        <f ca="1">IF($D26&lt;&gt;"Serviço",0,IF(OR(AND(AUTOEVENTO="Manual",$M26=1),$M26&gt;(ROW(PLE.lastrow)-ROW(PLE.firstrow))),0,IF(OFFSET(PLE!$G$14,$M26,BC$13)="",10^12,OFFSET(PLE!$G$14,$M26,BC$13))))</f>
        <v>1000000000000</v>
      </c>
      <c r="BD26" s="216">
        <f ca="1">IF($D26&lt;&gt;"Serviço",0,IF(OR(AND(AUTOEVENTO="Manual",$M26=1),$M26&gt;(ROW(PLE.lastrow)-ROW(PLE.firstrow))),0,IF(OFFSET(PLE!$G$14,$M26,BD$13)="",10^12,OFFSET(PLE!$G$14,$M26,BD$13))))</f>
        <v>1000000000000</v>
      </c>
      <c r="BE26" s="216">
        <f ca="1">IF($D26&lt;&gt;"Serviço",0,IF(OR(AND(AUTOEVENTO="Manual",$M26=1),$M26&gt;(ROW(PLE.lastrow)-ROW(PLE.firstrow))),0,IF(OFFSET(PLE!$G$14,$M26,BE$13)="",10^12,OFFSET(PLE!$G$14,$M26,BE$13))))</f>
        <v>1000000000000</v>
      </c>
      <c r="BF26" s="216">
        <f ca="1">IF($D26&lt;&gt;"Serviço",0,IF(OR(AND(AUTOEVENTO="Manual",$M26=1),$M26&gt;(ROW(PLE.lastrow)-ROW(PLE.firstrow))),0,IF(OFFSET(PLE!$G$14,$M26,BF$13)="",10^12,OFFSET(PLE!$G$14,$M26,BF$13))))</f>
        <v>1000000000000</v>
      </c>
      <c r="BG26" s="216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x14ac:dyDescent="0.2">
      <c r="A27" s="9" t="str">
        <f t="shared" ca="1" si="8"/>
        <v>2</v>
      </c>
      <c r="B27" s="9" t="str">
        <f ca="1">OFFSET(ORÇAMENTO!C$15,ROW(B27)-ROW(B$15),0)</f>
        <v>S</v>
      </c>
      <c r="C27" s="9" t="str">
        <f ca="1">OFFSET(ORÇAMENTO!L$15,ROW(C27)-ROW(C$15),0)</f>
        <v/>
      </c>
      <c r="D27" s="145" t="str">
        <f ca="1">OFFSET(ORÇAMENTO!N$15,ROW(D27)-ROW(D$15),0)</f>
        <v>Serviço</v>
      </c>
      <c r="E27" s="205" t="str">
        <f ca="1">OFFSET(ORÇAMENTO!O$15,ROW(E27)-ROW(E$15),0)</f>
        <v>-</v>
      </c>
      <c r="F27" s="206" t="str">
        <f ca="1">OFFSET(ORÇAMENTO!R$15,ROW(F27)-ROW(F$15),0)</f>
        <v>(abra o arquivo 'Referência 05-2023.xls)</v>
      </c>
      <c r="G27" s="207" t="str">
        <f ca="1">IF($D27&lt;&gt;"Serviço","",OFFSET(ORÇAMENTO!S$15,ROW(G27)-ROW(G$15),0))</f>
        <v>-</v>
      </c>
      <c r="H27" s="151">
        <f ca="1">IF($D27&lt;&gt;"Serviço",0,IF(ACOMPANHAMENTO="BM",ROUND(OFFSET(ORÇAMENTO!AJ$15,ROW(H27)-ROW(H$15),0),15-13*ORÇAMENTO!$AF$7),SUMPRODUCT(($Q$12:$AA$12&lt;&gt;"")*ROUND($Q27:$AA27,15-13*ORÇAMENTO!$AF$7))))</f>
        <v>0</v>
      </c>
      <c r="I27" s="611"/>
      <c r="K27" s="208"/>
      <c r="L27" s="209" t="s">
        <v>254</v>
      </c>
      <c r="M27" s="210">
        <f ca="1">IF($D27&lt;&gt;"Serviço","",IF(AUTOEVENTO="manual",$A27,IF(ISERROR(MATCH($A27,$A$15:OFFSET($A27,-1,0),0)),MAX($M$15:OFFSET(M27,-1,0))+1,INDEX($M$15:OFFSET(M27,-1,0),MATCH($A27,$A$15:OFFSET($A27,-1,0),0)))))</f>
        <v>2</v>
      </c>
      <c r="N27" s="211" t="str">
        <f ca="1">IF($D27&lt;&gt;"Serviço","",IF(AUTOEVENTO="Manual",IF($A27=0,"&lt;-- defina o número do agrupador",OFFSET(EVENTOS!$D$14,$A27,0)),OFFSET($F$15,$A27,0)))</f>
        <v>SERVIÇOS PRELIMINARES</v>
      </c>
      <c r="O27" s="212"/>
      <c r="Q27" s="212"/>
      <c r="R27" s="213"/>
      <c r="S27" s="213"/>
      <c r="T27" s="213"/>
      <c r="U27" s="213"/>
      <c r="V27" s="213"/>
      <c r="W27" s="213"/>
      <c r="X27" s="213"/>
      <c r="Y27" s="213"/>
      <c r="Z27" s="214"/>
      <c r="AB27" s="592">
        <f ca="1">IF(AND($D27="Serviço",AB$12&lt;&gt;0,$H27&gt;0,OR(AUTOEVENTO&lt;&gt;"manual",$M27&lt;&gt;1)),ROUND(OFFSET($P27,0,AB$13),15-13*ORÇAMENTO!$AF$7)/$H27*OFFSET(ORÇAMENTO!$X$15,ROW(AB27)-ROW(AB$15),0),0)</f>
        <v>0</v>
      </c>
      <c r="AC27" s="593">
        <f ca="1">IF(AND($D27="Serviço",AC$12&lt;&gt;0,$H27&gt;0,OR(AUTOEVENTO&lt;&gt;"manual",$M27&lt;&gt;1)),ROUND(OFFSET($P27,0,AC$13),15-13*ORÇAMENTO!$AF$7)/$H27*OFFSET(ORÇAMENTO!$X$15,ROW(AC27)-ROW(AC$15),0),0)</f>
        <v>0</v>
      </c>
      <c r="AD27" s="593">
        <f ca="1">IF(AND($D27="Serviço",AD$12&lt;&gt;0,$H27&gt;0,OR(AUTOEVENTO&lt;&gt;"manual",$M27&lt;&gt;1)),ROUND(OFFSET($P27,0,AD$13),15-13*ORÇAMENTO!$AF$7)/$H27*OFFSET(ORÇAMENTO!$X$15,ROW(AD27)-ROW(AD$15),0),0)</f>
        <v>0</v>
      </c>
      <c r="AE27" s="593">
        <f ca="1">IF(AND($D27="Serviço",AE$12&lt;&gt;0,$H27&gt;0,OR(AUTOEVENTO&lt;&gt;"manual",$M27&lt;&gt;1)),ROUND(OFFSET($P27,0,AE$13),15-13*ORÇAMENTO!$AF$7)/$H27*OFFSET(ORÇAMENTO!$X$15,ROW(AE27)-ROW(AE$15),0),0)</f>
        <v>0</v>
      </c>
      <c r="AF27" s="593">
        <f ca="1">IF(AND($D27="Serviço",AF$12&lt;&gt;0,$H27&gt;0,OR(AUTOEVENTO&lt;&gt;"manual",$M27&lt;&gt;1)),ROUND(OFFSET($P27,0,AF$13),15-13*ORÇAMENTO!$AF$7)/$H27*OFFSET(ORÇAMENTO!$X$15,ROW(AF27)-ROW(AF$15),0),0)</f>
        <v>0</v>
      </c>
      <c r="AG27" s="593">
        <f ca="1">IF(AND($D27="Serviço",AG$12&lt;&gt;0,$H27&gt;0,OR(AUTOEVENTO&lt;&gt;"manual",$M27&lt;&gt;1)),ROUND(OFFSET($P27,0,AG$13),15-13*ORÇAMENTO!$AF$7)/$H27*OFFSET(ORÇAMENTO!$X$15,ROW(AG27)-ROW(AG$15),0),0)</f>
        <v>0</v>
      </c>
      <c r="AH27" s="593">
        <f ca="1">IF(AND($D27="Serviço",AH$12&lt;&gt;0,$H27&gt;0,OR(AUTOEVENTO&lt;&gt;"manual",$M27&lt;&gt;1)),ROUND(OFFSET($P27,0,AH$13),15-13*ORÇAMENTO!$AF$7)/$H27*OFFSET(ORÇAMENTO!$X$15,ROW(AH27)-ROW(AH$15),0),0)</f>
        <v>0</v>
      </c>
      <c r="AI27" s="593">
        <f ca="1">IF(AND($D27="Serviço",AI$12&lt;&gt;0,$H27&gt;0,OR(AUTOEVENTO&lt;&gt;"manual",$M27&lt;&gt;1)),ROUND(OFFSET($P27,0,AI$13),15-13*ORÇAMENTO!$AF$7)/$H27*OFFSET(ORÇAMENTO!$X$15,ROW(AI27)-ROW(AI$15),0),0)</f>
        <v>0</v>
      </c>
      <c r="AJ27" s="593">
        <f ca="1">IF(AND($D27="Serviço",AJ$12&lt;&gt;0,$H27&gt;0,OR(AUTOEVENTO&lt;&gt;"manual",$M27&lt;&gt;1)),ROUND(OFFSET($P27,0,AJ$13),15-13*ORÇAMENTO!$AF$7)/$H27*OFFSET(ORÇAMENTO!$X$15,ROW(AJ27)-ROW(AJ$15),0),0)</f>
        <v>0</v>
      </c>
      <c r="AK27" s="594">
        <f ca="1">IF(AND($D27="Serviço",AK$12&lt;&gt;0,$H27&gt;0,OR(AUTOEVENTO&lt;&gt;"manual",$M27&lt;&gt;1)),ROUND(OFFSET($P27,0,AK$13),15-13*ORÇAMENTO!$AF$7)/$H27*OFFSET(ORÇAMENTO!$X$15,ROW(AK27)-ROW(AK$15),0),0)</f>
        <v>0</v>
      </c>
      <c r="AM27" s="215">
        <f ca="1">IF($D27&lt;&gt;"Serviço",0,IF(AND(AUTOEVENTO="Manual",$M27=1),0,IF(OFFSET(CRONOPLE!$F$14,$M27,AM$13)="",10^12,OFFSET(CRONOPLE!$F$14,$M27,AM$13))))</f>
        <v>1</v>
      </c>
      <c r="AN27" s="215">
        <f ca="1">IF($D27&lt;&gt;"Serviço",0,IF(AND(AUTOEVENTO="Manual",$M27=1),0,IF(OFFSET(CRONOPLE!$F$14,$M27,AN$13)="",10^12,OFFSET(CRONOPLE!$F$14,$M27,AN$13))))</f>
        <v>1000000000000</v>
      </c>
      <c r="AO27" s="215">
        <f ca="1">IF($D27&lt;&gt;"Serviço",0,IF(AND(AUTOEVENTO="Manual",$M27=1),0,IF(OFFSET(CRONOPLE!$F$14,$M27,AO$13)="",10^12,OFFSET(CRONOPLE!$F$14,$M27,AO$13))))</f>
        <v>1000000000000</v>
      </c>
      <c r="AP27" s="215">
        <f ca="1">IF($D27&lt;&gt;"Serviço",0,IF(AND(AUTOEVENTO="Manual",$M27=1),0,IF(OFFSET(CRONOPLE!$F$14,$M27,AP$13)="",10^12,OFFSET(CRONOPLE!$F$14,$M27,AP$13))))</f>
        <v>1000000000000</v>
      </c>
      <c r="AQ27" s="215">
        <f ca="1">IF($D27&lt;&gt;"Serviço",0,IF(AND(AUTOEVENTO="Manual",$M27=1),0,IF(OFFSET(CRONOPLE!$F$14,$M27,AQ$13)="",10^12,OFFSET(CRONOPLE!$F$14,$M27,AQ$13))))</f>
        <v>1000000000000</v>
      </c>
      <c r="AR27" s="215">
        <f ca="1">IF($D27&lt;&gt;"Serviço",0,IF(AND(AUTOEVENTO="Manual",$M27=1),0,IF(OFFSET(CRONOPLE!$F$14,$M27,AR$13)="",10^12,OFFSET(CRONOPLE!$F$14,$M27,AR$13))))</f>
        <v>1000000000000</v>
      </c>
      <c r="AS27" s="215">
        <f ca="1">IF($D27&lt;&gt;"Serviço",0,IF(AND(AUTOEVENTO="Manual",$M27=1),0,IF(OFFSET(CRONOPLE!$F$14,$M27,AS$13)="",10^12,OFFSET(CRONOPLE!$F$14,$M27,AS$13))))</f>
        <v>1000000000000</v>
      </c>
      <c r="AT27" s="215">
        <f ca="1">IF($D27&lt;&gt;"Serviço",0,IF(AND(AUTOEVENTO="Manual",$M27=1),0,IF(OFFSET(CRONOPLE!$F$14,$M27,AT$13)="",10^12,OFFSET(CRONOPLE!$F$14,$M27,AT$13))))</f>
        <v>1000000000000</v>
      </c>
      <c r="AU27" s="215">
        <f ca="1">IF($D27&lt;&gt;"Serviço",0,IF(AND(AUTOEVENTO="Manual",$M27=1),0,IF(OFFSET(CRONOPLE!$F$14,$M27,AU$13)="",10^12,OFFSET(CRONOPLE!$F$14,$M27,AU$13))))</f>
        <v>1000000000000</v>
      </c>
      <c r="AV27" s="215">
        <f ca="1">IF($D27&lt;&gt;"Serviço",0,IF(AND(AUTOEVENTO="Manual",$M27=1),0,IF(OFFSET(CRONOPLE!$F$14,$M27,AV$13)="",10^12,OFFSET(CRONOPLE!$F$14,$M27,AV$13))))</f>
        <v>1000000000000</v>
      </c>
      <c r="AX27" s="216">
        <f ca="1">IF($D27&lt;&gt;"Serviço",0,IF(OR(AND(AUTOEVENTO="Manual",$M27=1),$M27&gt;(ROW(PLE.lastrow)-ROW(PLE.firstrow))),0,IF(OFFSET(PLE!$G$14,$M27,AX$13)="",10^12,OFFSET(PLE!$G$14,$M27,AX$13))))</f>
        <v>1</v>
      </c>
      <c r="AY27" s="216">
        <f ca="1">IF($D27&lt;&gt;"Serviço",0,IF(OR(AND(AUTOEVENTO="Manual",$M27=1),$M27&gt;(ROW(PLE.lastrow)-ROW(PLE.firstrow))),0,IF(OFFSET(PLE!$G$14,$M27,AY$13)="",10^12,OFFSET(PLE!$G$14,$M27,AY$13))))</f>
        <v>1000000000000</v>
      </c>
      <c r="AZ27" s="216">
        <f ca="1">IF($D27&lt;&gt;"Serviço",0,IF(OR(AND(AUTOEVENTO="Manual",$M27=1),$M27&gt;(ROW(PLE.lastrow)-ROW(PLE.firstrow))),0,IF(OFFSET(PLE!$G$14,$M27,AZ$13)="",10^12,OFFSET(PLE!$G$14,$M27,AZ$13))))</f>
        <v>1000000000000</v>
      </c>
      <c r="BA27" s="216">
        <f ca="1">IF($D27&lt;&gt;"Serviço",0,IF(OR(AND(AUTOEVENTO="Manual",$M27=1),$M27&gt;(ROW(PLE.lastrow)-ROW(PLE.firstrow))),0,IF(OFFSET(PLE!$G$14,$M27,BA$13)="",10^12,OFFSET(PLE!$G$14,$M27,BA$13))))</f>
        <v>1000000000000</v>
      </c>
      <c r="BB27" s="216">
        <f ca="1">IF($D27&lt;&gt;"Serviço",0,IF(OR(AND(AUTOEVENTO="Manual",$M27=1),$M27&gt;(ROW(PLE.lastrow)-ROW(PLE.firstrow))),0,IF(OFFSET(PLE!$G$14,$M27,BB$13)="",10^12,OFFSET(PLE!$G$14,$M27,BB$13))))</f>
        <v>1000000000000</v>
      </c>
      <c r="BC27" s="216">
        <f ca="1">IF($D27&lt;&gt;"Serviço",0,IF(OR(AND(AUTOEVENTO="Manual",$M27=1),$M27&gt;(ROW(PLE.lastrow)-ROW(PLE.firstrow))),0,IF(OFFSET(PLE!$G$14,$M27,BC$13)="",10^12,OFFSET(PLE!$G$14,$M27,BC$13))))</f>
        <v>1000000000000</v>
      </c>
      <c r="BD27" s="216">
        <f ca="1">IF($D27&lt;&gt;"Serviço",0,IF(OR(AND(AUTOEVENTO="Manual",$M27=1),$M27&gt;(ROW(PLE.lastrow)-ROW(PLE.firstrow))),0,IF(OFFSET(PLE!$G$14,$M27,BD$13)="",10^12,OFFSET(PLE!$G$14,$M27,BD$13))))</f>
        <v>1000000000000</v>
      </c>
      <c r="BE27" s="216">
        <f ca="1">IF($D27&lt;&gt;"Serviço",0,IF(OR(AND(AUTOEVENTO="Manual",$M27=1),$M27&gt;(ROW(PLE.lastrow)-ROW(PLE.firstrow))),0,IF(OFFSET(PLE!$G$14,$M27,BE$13)="",10^12,OFFSET(PLE!$G$14,$M27,BE$13))))</f>
        <v>1000000000000</v>
      </c>
      <c r="BF27" s="216">
        <f ca="1">IF($D27&lt;&gt;"Serviço",0,IF(OR(AND(AUTOEVENTO="Manual",$M27=1),$M27&gt;(ROW(PLE.lastrow)-ROW(PLE.firstrow))),0,IF(OFFSET(PLE!$G$14,$M27,BF$13)="",10^12,OFFSET(PLE!$G$14,$M27,BF$13))))</f>
        <v>1000000000000</v>
      </c>
      <c r="BG27" s="216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x14ac:dyDescent="0.2">
      <c r="A28" s="9" t="str">
        <f t="shared" ca="1" si="8"/>
        <v>2</v>
      </c>
      <c r="B28" s="9" t="str">
        <f ca="1">OFFSET(ORÇAMENTO!C$15,ROW(B28)-ROW(B$15),0)</f>
        <v>S</v>
      </c>
      <c r="C28" s="9" t="str">
        <f ca="1">OFFSET(ORÇAMENTO!L$15,ROW(C28)-ROW(C$15),0)</f>
        <v/>
      </c>
      <c r="D28" s="145" t="str">
        <f ca="1">OFFSET(ORÇAMENTO!N$15,ROW(D28)-ROW(D$15),0)</f>
        <v>Serviço</v>
      </c>
      <c r="E28" s="205" t="str">
        <f ca="1">OFFSET(ORÇAMENTO!O$15,ROW(E28)-ROW(E$15),0)</f>
        <v>-</v>
      </c>
      <c r="F28" s="206" t="str">
        <f ca="1">OFFSET(ORÇAMENTO!R$15,ROW(F28)-ROW(F$15),0)</f>
        <v>(abra o arquivo 'Referência 05-2023.xls)</v>
      </c>
      <c r="G28" s="207" t="str">
        <f ca="1">IF($D28&lt;&gt;"Serviço","",OFFSET(ORÇAMENTO!S$15,ROW(G28)-ROW(G$15),0))</f>
        <v>-</v>
      </c>
      <c r="H28" s="151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611"/>
      <c r="K28" s="208"/>
      <c r="L28" s="209" t="s">
        <v>254</v>
      </c>
      <c r="M28" s="210">
        <f ca="1">IF($D28&lt;&gt;"Serviço","",IF(AUTOEVENTO="manual",$A28,IF(ISERROR(MATCH($A28,$A$15:OFFSET($A28,-1,0),0)),MAX($M$15:OFFSET(M28,-1,0))+1,INDEX($M$15:OFFSET(M28,-1,0),MATCH($A28,$A$15:OFFSET($A28,-1,0),0)))))</f>
        <v>2</v>
      </c>
      <c r="N28" s="211" t="str">
        <f ca="1">IF($D28&lt;&gt;"Serviço","",IF(AUTOEVENTO="Manual",IF($A28=0,"&lt;-- defina o número do agrupador",OFFSET(EVENTOS!$D$14,$A28,0)),OFFSET($F$15,$A28,0)))</f>
        <v>SERVIÇOS PRELIMINARES</v>
      </c>
      <c r="O28" s="212"/>
      <c r="Q28" s="212"/>
      <c r="R28" s="213"/>
      <c r="S28" s="213"/>
      <c r="T28" s="213"/>
      <c r="U28" s="213"/>
      <c r="V28" s="213"/>
      <c r="W28" s="213"/>
      <c r="X28" s="213"/>
      <c r="Y28" s="213"/>
      <c r="Z28" s="214"/>
      <c r="AB28" s="592">
        <f ca="1">IF(AND($D28="Serviço",AB$12&lt;&gt;0,$H28&gt;0,OR(AUTOEVENTO&lt;&gt;"manual",$M28&lt;&gt;1)),ROUND(OFFSET($P28,0,AB$13),15-13*ORÇAMENTO!$AF$7)/$H28*OFFSET(ORÇAMENTO!$X$15,ROW(AB28)-ROW(AB$15),0),0)</f>
        <v>0</v>
      </c>
      <c r="AC28" s="593">
        <f ca="1">IF(AND($D28="Serviço",AC$12&lt;&gt;0,$H28&gt;0,OR(AUTOEVENTO&lt;&gt;"manual",$M28&lt;&gt;1)),ROUND(OFFSET($P28,0,AC$13),15-13*ORÇAMENTO!$AF$7)/$H28*OFFSET(ORÇAMENTO!$X$15,ROW(AC28)-ROW(AC$15),0),0)</f>
        <v>0</v>
      </c>
      <c r="AD28" s="593">
        <f ca="1">IF(AND($D28="Serviço",AD$12&lt;&gt;0,$H28&gt;0,OR(AUTOEVENTO&lt;&gt;"manual",$M28&lt;&gt;1)),ROUND(OFFSET($P28,0,AD$13),15-13*ORÇAMENTO!$AF$7)/$H28*OFFSET(ORÇAMENTO!$X$15,ROW(AD28)-ROW(AD$15),0),0)</f>
        <v>0</v>
      </c>
      <c r="AE28" s="593">
        <f ca="1">IF(AND($D28="Serviço",AE$12&lt;&gt;0,$H28&gt;0,OR(AUTOEVENTO&lt;&gt;"manual",$M28&lt;&gt;1)),ROUND(OFFSET($P28,0,AE$13),15-13*ORÇAMENTO!$AF$7)/$H28*OFFSET(ORÇAMENTO!$X$15,ROW(AE28)-ROW(AE$15),0),0)</f>
        <v>0</v>
      </c>
      <c r="AF28" s="593">
        <f ca="1">IF(AND($D28="Serviço",AF$12&lt;&gt;0,$H28&gt;0,OR(AUTOEVENTO&lt;&gt;"manual",$M28&lt;&gt;1)),ROUND(OFFSET($P28,0,AF$13),15-13*ORÇAMENTO!$AF$7)/$H28*OFFSET(ORÇAMENTO!$X$15,ROW(AF28)-ROW(AF$15),0),0)</f>
        <v>0</v>
      </c>
      <c r="AG28" s="593">
        <f ca="1">IF(AND($D28="Serviço",AG$12&lt;&gt;0,$H28&gt;0,OR(AUTOEVENTO&lt;&gt;"manual",$M28&lt;&gt;1)),ROUND(OFFSET($P28,0,AG$13),15-13*ORÇAMENTO!$AF$7)/$H28*OFFSET(ORÇAMENTO!$X$15,ROW(AG28)-ROW(AG$15),0),0)</f>
        <v>0</v>
      </c>
      <c r="AH28" s="593">
        <f ca="1">IF(AND($D28="Serviço",AH$12&lt;&gt;0,$H28&gt;0,OR(AUTOEVENTO&lt;&gt;"manual",$M28&lt;&gt;1)),ROUND(OFFSET($P28,0,AH$13),15-13*ORÇAMENTO!$AF$7)/$H28*OFFSET(ORÇAMENTO!$X$15,ROW(AH28)-ROW(AH$15),0),0)</f>
        <v>0</v>
      </c>
      <c r="AI28" s="593">
        <f ca="1">IF(AND($D28="Serviço",AI$12&lt;&gt;0,$H28&gt;0,OR(AUTOEVENTO&lt;&gt;"manual",$M28&lt;&gt;1)),ROUND(OFFSET($P28,0,AI$13),15-13*ORÇAMENTO!$AF$7)/$H28*OFFSET(ORÇAMENTO!$X$15,ROW(AI28)-ROW(AI$15),0),0)</f>
        <v>0</v>
      </c>
      <c r="AJ28" s="593">
        <f ca="1">IF(AND($D28="Serviço",AJ$12&lt;&gt;0,$H28&gt;0,OR(AUTOEVENTO&lt;&gt;"manual",$M28&lt;&gt;1)),ROUND(OFFSET($P28,0,AJ$13),15-13*ORÇAMENTO!$AF$7)/$H28*OFFSET(ORÇAMENTO!$X$15,ROW(AJ28)-ROW(AJ$15),0),0)</f>
        <v>0</v>
      </c>
      <c r="AK28" s="594">
        <f ca="1">IF(AND($D28="Serviço",AK$12&lt;&gt;0,$H28&gt;0,OR(AUTOEVENTO&lt;&gt;"manual",$M28&lt;&gt;1)),ROUND(OFFSET($P28,0,AK$13),15-13*ORÇAMENTO!$AF$7)/$H28*OFFSET(ORÇAMENTO!$X$15,ROW(AK28)-ROW(AK$15),0),0)</f>
        <v>0</v>
      </c>
      <c r="AM28" s="215">
        <f ca="1">IF($D28&lt;&gt;"Serviço",0,IF(AND(AUTOEVENTO="Manual",$M28=1),0,IF(OFFSET(CRONOPLE!$F$14,$M28,AM$13)="",10^12,OFFSET(CRONOPLE!$F$14,$M28,AM$13))))</f>
        <v>1</v>
      </c>
      <c r="AN28" s="215">
        <f ca="1">IF($D28&lt;&gt;"Serviço",0,IF(AND(AUTOEVENTO="Manual",$M28=1),0,IF(OFFSET(CRONOPLE!$F$14,$M28,AN$13)="",10^12,OFFSET(CRONOPLE!$F$14,$M28,AN$13))))</f>
        <v>1000000000000</v>
      </c>
      <c r="AO28" s="215">
        <f ca="1">IF($D28&lt;&gt;"Serviço",0,IF(AND(AUTOEVENTO="Manual",$M28=1),0,IF(OFFSET(CRONOPLE!$F$14,$M28,AO$13)="",10^12,OFFSET(CRONOPLE!$F$14,$M28,AO$13))))</f>
        <v>1000000000000</v>
      </c>
      <c r="AP28" s="215">
        <f ca="1">IF($D28&lt;&gt;"Serviço",0,IF(AND(AUTOEVENTO="Manual",$M28=1),0,IF(OFFSET(CRONOPLE!$F$14,$M28,AP$13)="",10^12,OFFSET(CRONOPLE!$F$14,$M28,AP$13))))</f>
        <v>1000000000000</v>
      </c>
      <c r="AQ28" s="215">
        <f ca="1">IF($D28&lt;&gt;"Serviço",0,IF(AND(AUTOEVENTO="Manual",$M28=1),0,IF(OFFSET(CRONOPLE!$F$14,$M28,AQ$13)="",10^12,OFFSET(CRONOPLE!$F$14,$M28,AQ$13))))</f>
        <v>1000000000000</v>
      </c>
      <c r="AR28" s="215">
        <f ca="1">IF($D28&lt;&gt;"Serviço",0,IF(AND(AUTOEVENTO="Manual",$M28=1),0,IF(OFFSET(CRONOPLE!$F$14,$M28,AR$13)="",10^12,OFFSET(CRONOPLE!$F$14,$M28,AR$13))))</f>
        <v>1000000000000</v>
      </c>
      <c r="AS28" s="215">
        <f ca="1">IF($D28&lt;&gt;"Serviço",0,IF(AND(AUTOEVENTO="Manual",$M28=1),0,IF(OFFSET(CRONOPLE!$F$14,$M28,AS$13)="",10^12,OFFSET(CRONOPLE!$F$14,$M28,AS$13))))</f>
        <v>1000000000000</v>
      </c>
      <c r="AT28" s="215">
        <f ca="1">IF($D28&lt;&gt;"Serviço",0,IF(AND(AUTOEVENTO="Manual",$M28=1),0,IF(OFFSET(CRONOPLE!$F$14,$M28,AT$13)="",10^12,OFFSET(CRONOPLE!$F$14,$M28,AT$13))))</f>
        <v>1000000000000</v>
      </c>
      <c r="AU28" s="215">
        <f ca="1">IF($D28&lt;&gt;"Serviço",0,IF(AND(AUTOEVENTO="Manual",$M28=1),0,IF(OFFSET(CRONOPLE!$F$14,$M28,AU$13)="",10^12,OFFSET(CRONOPLE!$F$14,$M28,AU$13))))</f>
        <v>1000000000000</v>
      </c>
      <c r="AV28" s="215">
        <f ca="1">IF($D28&lt;&gt;"Serviço",0,IF(AND(AUTOEVENTO="Manual",$M28=1),0,IF(OFFSET(CRONOPLE!$F$14,$M28,AV$13)="",10^12,OFFSET(CRONOPLE!$F$14,$M28,AV$13))))</f>
        <v>1000000000000</v>
      </c>
      <c r="AX28" s="216">
        <f ca="1">IF($D28&lt;&gt;"Serviço",0,IF(OR(AND(AUTOEVENTO="Manual",$M28=1),$M28&gt;(ROW(PLE.lastrow)-ROW(PLE.firstrow))),0,IF(OFFSET(PLE!$G$14,$M28,AX$13)="",10^12,OFFSET(PLE!$G$14,$M28,AX$13))))</f>
        <v>1</v>
      </c>
      <c r="AY28" s="216">
        <f ca="1">IF($D28&lt;&gt;"Serviço",0,IF(OR(AND(AUTOEVENTO="Manual",$M28=1),$M28&gt;(ROW(PLE.lastrow)-ROW(PLE.firstrow))),0,IF(OFFSET(PLE!$G$14,$M28,AY$13)="",10^12,OFFSET(PLE!$G$14,$M28,AY$13))))</f>
        <v>1000000000000</v>
      </c>
      <c r="AZ28" s="216">
        <f ca="1">IF($D28&lt;&gt;"Serviço",0,IF(OR(AND(AUTOEVENTO="Manual",$M28=1),$M28&gt;(ROW(PLE.lastrow)-ROW(PLE.firstrow))),0,IF(OFFSET(PLE!$G$14,$M28,AZ$13)="",10^12,OFFSET(PLE!$G$14,$M28,AZ$13))))</f>
        <v>1000000000000</v>
      </c>
      <c r="BA28" s="216">
        <f ca="1">IF($D28&lt;&gt;"Serviço",0,IF(OR(AND(AUTOEVENTO="Manual",$M28=1),$M28&gt;(ROW(PLE.lastrow)-ROW(PLE.firstrow))),0,IF(OFFSET(PLE!$G$14,$M28,BA$13)="",10^12,OFFSET(PLE!$G$14,$M28,BA$13))))</f>
        <v>1000000000000</v>
      </c>
      <c r="BB28" s="216">
        <f ca="1">IF($D28&lt;&gt;"Serviço",0,IF(OR(AND(AUTOEVENTO="Manual",$M28=1),$M28&gt;(ROW(PLE.lastrow)-ROW(PLE.firstrow))),0,IF(OFFSET(PLE!$G$14,$M28,BB$13)="",10^12,OFFSET(PLE!$G$14,$M28,BB$13))))</f>
        <v>1000000000000</v>
      </c>
      <c r="BC28" s="216">
        <f ca="1">IF($D28&lt;&gt;"Serviço",0,IF(OR(AND(AUTOEVENTO="Manual",$M28=1),$M28&gt;(ROW(PLE.lastrow)-ROW(PLE.firstrow))),0,IF(OFFSET(PLE!$G$14,$M28,BC$13)="",10^12,OFFSET(PLE!$G$14,$M28,BC$13))))</f>
        <v>1000000000000</v>
      </c>
      <c r="BD28" s="216">
        <f ca="1">IF($D28&lt;&gt;"Serviço",0,IF(OR(AND(AUTOEVENTO="Manual",$M28=1),$M28&gt;(ROW(PLE.lastrow)-ROW(PLE.firstrow))),0,IF(OFFSET(PLE!$G$14,$M28,BD$13)="",10^12,OFFSET(PLE!$G$14,$M28,BD$13))))</f>
        <v>1000000000000</v>
      </c>
      <c r="BE28" s="216">
        <f ca="1">IF($D28&lt;&gt;"Serviço",0,IF(OR(AND(AUTOEVENTO="Manual",$M28=1),$M28&gt;(ROW(PLE.lastrow)-ROW(PLE.firstrow))),0,IF(OFFSET(PLE!$G$14,$M28,BE$13)="",10^12,OFFSET(PLE!$G$14,$M28,BE$13))))</f>
        <v>1000000000000</v>
      </c>
      <c r="BF28" s="216">
        <f ca="1">IF($D28&lt;&gt;"Serviço",0,IF(OR(AND(AUTOEVENTO="Manual",$M28=1),$M28&gt;(ROW(PLE.lastrow)-ROW(PLE.firstrow))),0,IF(OFFSET(PLE!$G$14,$M28,BF$13)="",10^12,OFFSET(PLE!$G$14,$M28,BF$13))))</f>
        <v>1000000000000</v>
      </c>
      <c r="BG28" s="216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9" t="str">
        <f t="shared" ca="1" si="8"/>
        <v>2</v>
      </c>
      <c r="B29" s="9" t="str">
        <f ca="1">OFFSET(ORÇAMENTO!C$15,ROW(B29)-ROW(B$15),0)</f>
        <v>S</v>
      </c>
      <c r="C29" s="9" t="str">
        <f ca="1">OFFSET(ORÇAMENTO!L$15,ROW(C29)-ROW(C$15),0)</f>
        <v/>
      </c>
      <c r="D29" s="145" t="str">
        <f ca="1">OFFSET(ORÇAMENTO!N$15,ROW(D29)-ROW(D$15),0)</f>
        <v>Serviço</v>
      </c>
      <c r="E29" s="205" t="str">
        <f ca="1">OFFSET(ORÇAMENTO!O$15,ROW(E29)-ROW(E$15),0)</f>
        <v>-</v>
      </c>
      <c r="F29" s="206" t="str">
        <f ca="1">OFFSET(ORÇAMENTO!R$15,ROW(F29)-ROW(F$15),0)</f>
        <v>(abra o arquivo 'Referência 05-2023.xls)</v>
      </c>
      <c r="G29" s="207" t="str">
        <f ca="1">IF($D29&lt;&gt;"Serviço","",OFFSET(ORÇAMENTO!S$15,ROW(G29)-ROW(G$15),0))</f>
        <v>-</v>
      </c>
      <c r="H29" s="151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1"/>
      <c r="K29" s="208"/>
      <c r="L29" s="209" t="s">
        <v>254</v>
      </c>
      <c r="M29" s="210">
        <f ca="1">IF($D29&lt;&gt;"Serviço","",IF(AUTOEVENTO="manual",$A29,IF(ISERROR(MATCH($A29,$A$15:OFFSET($A29,-1,0),0)),MAX($M$15:OFFSET(M29,-1,0))+1,INDEX($M$15:OFFSET(M29,-1,0),MATCH($A29,$A$15:OFFSET($A29,-1,0),0)))))</f>
        <v>2</v>
      </c>
      <c r="N29" s="211" t="str">
        <f ca="1">IF($D29&lt;&gt;"Serviço","",IF(AUTOEVENTO="Manual",IF($A29=0,"&lt;-- defina o número do agrupador",OFFSET(EVENTOS!$D$14,$A29,0)),OFFSET($F$15,$A29,0)))</f>
        <v>SERVIÇOS PRELIMINARES</v>
      </c>
      <c r="O29" s="212"/>
      <c r="Q29" s="212"/>
      <c r="R29" s="213"/>
      <c r="S29" s="213"/>
      <c r="T29" s="213"/>
      <c r="U29" s="213"/>
      <c r="V29" s="213"/>
      <c r="W29" s="213"/>
      <c r="X29" s="213"/>
      <c r="Y29" s="213"/>
      <c r="Z29" s="214"/>
      <c r="AB29" s="592">
        <f ca="1">IF(AND($D29="Serviço",AB$12&lt;&gt;0,$H29&gt;0,OR(AUTOEVENTO&lt;&gt;"manual",$M29&lt;&gt;1)),ROUND(OFFSET($P29,0,AB$13),15-13*ORÇAMENTO!$AF$7)/$H29*OFFSET(ORÇAMENTO!$X$15,ROW(AB29)-ROW(AB$15),0),0)</f>
        <v>0</v>
      </c>
      <c r="AC29" s="593">
        <f ca="1">IF(AND($D29="Serviço",AC$12&lt;&gt;0,$H29&gt;0,OR(AUTOEVENTO&lt;&gt;"manual",$M29&lt;&gt;1)),ROUND(OFFSET($P29,0,AC$13),15-13*ORÇAMENTO!$AF$7)/$H29*OFFSET(ORÇAMENTO!$X$15,ROW(AC29)-ROW(AC$15),0),0)</f>
        <v>0</v>
      </c>
      <c r="AD29" s="593">
        <f ca="1">IF(AND($D29="Serviço",AD$12&lt;&gt;0,$H29&gt;0,OR(AUTOEVENTO&lt;&gt;"manual",$M29&lt;&gt;1)),ROUND(OFFSET($P29,0,AD$13),15-13*ORÇAMENTO!$AF$7)/$H29*OFFSET(ORÇAMENTO!$X$15,ROW(AD29)-ROW(AD$15),0),0)</f>
        <v>0</v>
      </c>
      <c r="AE29" s="593">
        <f ca="1">IF(AND($D29="Serviço",AE$12&lt;&gt;0,$H29&gt;0,OR(AUTOEVENTO&lt;&gt;"manual",$M29&lt;&gt;1)),ROUND(OFFSET($P29,0,AE$13),15-13*ORÇAMENTO!$AF$7)/$H29*OFFSET(ORÇAMENTO!$X$15,ROW(AE29)-ROW(AE$15),0),0)</f>
        <v>0</v>
      </c>
      <c r="AF29" s="593">
        <f ca="1">IF(AND($D29="Serviço",AF$12&lt;&gt;0,$H29&gt;0,OR(AUTOEVENTO&lt;&gt;"manual",$M29&lt;&gt;1)),ROUND(OFFSET($P29,0,AF$13),15-13*ORÇAMENTO!$AF$7)/$H29*OFFSET(ORÇAMENTO!$X$15,ROW(AF29)-ROW(AF$15),0),0)</f>
        <v>0</v>
      </c>
      <c r="AG29" s="593">
        <f ca="1">IF(AND($D29="Serviço",AG$12&lt;&gt;0,$H29&gt;0,OR(AUTOEVENTO&lt;&gt;"manual",$M29&lt;&gt;1)),ROUND(OFFSET($P29,0,AG$13),15-13*ORÇAMENTO!$AF$7)/$H29*OFFSET(ORÇAMENTO!$X$15,ROW(AG29)-ROW(AG$15),0),0)</f>
        <v>0</v>
      </c>
      <c r="AH29" s="593">
        <f ca="1">IF(AND($D29="Serviço",AH$12&lt;&gt;0,$H29&gt;0,OR(AUTOEVENTO&lt;&gt;"manual",$M29&lt;&gt;1)),ROUND(OFFSET($P29,0,AH$13),15-13*ORÇAMENTO!$AF$7)/$H29*OFFSET(ORÇAMENTO!$X$15,ROW(AH29)-ROW(AH$15),0),0)</f>
        <v>0</v>
      </c>
      <c r="AI29" s="593">
        <f ca="1">IF(AND($D29="Serviço",AI$12&lt;&gt;0,$H29&gt;0,OR(AUTOEVENTO&lt;&gt;"manual",$M29&lt;&gt;1)),ROUND(OFFSET($P29,0,AI$13),15-13*ORÇAMENTO!$AF$7)/$H29*OFFSET(ORÇAMENTO!$X$15,ROW(AI29)-ROW(AI$15),0),0)</f>
        <v>0</v>
      </c>
      <c r="AJ29" s="593">
        <f ca="1">IF(AND($D29="Serviço",AJ$12&lt;&gt;0,$H29&gt;0,OR(AUTOEVENTO&lt;&gt;"manual",$M29&lt;&gt;1)),ROUND(OFFSET($P29,0,AJ$13),15-13*ORÇAMENTO!$AF$7)/$H29*OFFSET(ORÇAMENTO!$X$15,ROW(AJ29)-ROW(AJ$15),0),0)</f>
        <v>0</v>
      </c>
      <c r="AK29" s="594">
        <f ca="1">IF(AND($D29="Serviço",AK$12&lt;&gt;0,$H29&gt;0,OR(AUTOEVENTO&lt;&gt;"manual",$M29&lt;&gt;1)),ROUND(OFFSET($P29,0,AK$13),15-13*ORÇAMENTO!$AF$7)/$H29*OFFSET(ORÇAMENTO!$X$15,ROW(AK29)-ROW(AK$15),0),0)</f>
        <v>0</v>
      </c>
      <c r="AM29" s="215">
        <f ca="1">IF($D29&lt;&gt;"Serviço",0,IF(AND(AUTOEVENTO="Manual",$M29=1),0,IF(OFFSET(CRONOPLE!$F$14,$M29,AM$13)="",10^12,OFFSET(CRONOPLE!$F$14,$M29,AM$13))))</f>
        <v>1</v>
      </c>
      <c r="AN29" s="215">
        <f ca="1">IF($D29&lt;&gt;"Serviço",0,IF(AND(AUTOEVENTO="Manual",$M29=1),0,IF(OFFSET(CRONOPLE!$F$14,$M29,AN$13)="",10^12,OFFSET(CRONOPLE!$F$14,$M29,AN$13))))</f>
        <v>1000000000000</v>
      </c>
      <c r="AO29" s="215">
        <f ca="1">IF($D29&lt;&gt;"Serviço",0,IF(AND(AUTOEVENTO="Manual",$M29=1),0,IF(OFFSET(CRONOPLE!$F$14,$M29,AO$13)="",10^12,OFFSET(CRONOPLE!$F$14,$M29,AO$13))))</f>
        <v>1000000000000</v>
      </c>
      <c r="AP29" s="215">
        <f ca="1">IF($D29&lt;&gt;"Serviço",0,IF(AND(AUTOEVENTO="Manual",$M29=1),0,IF(OFFSET(CRONOPLE!$F$14,$M29,AP$13)="",10^12,OFFSET(CRONOPLE!$F$14,$M29,AP$13))))</f>
        <v>1000000000000</v>
      </c>
      <c r="AQ29" s="215">
        <f ca="1">IF($D29&lt;&gt;"Serviço",0,IF(AND(AUTOEVENTO="Manual",$M29=1),0,IF(OFFSET(CRONOPLE!$F$14,$M29,AQ$13)="",10^12,OFFSET(CRONOPLE!$F$14,$M29,AQ$13))))</f>
        <v>1000000000000</v>
      </c>
      <c r="AR29" s="215">
        <f ca="1">IF($D29&lt;&gt;"Serviço",0,IF(AND(AUTOEVENTO="Manual",$M29=1),0,IF(OFFSET(CRONOPLE!$F$14,$M29,AR$13)="",10^12,OFFSET(CRONOPLE!$F$14,$M29,AR$13))))</f>
        <v>1000000000000</v>
      </c>
      <c r="AS29" s="215">
        <f ca="1">IF($D29&lt;&gt;"Serviço",0,IF(AND(AUTOEVENTO="Manual",$M29=1),0,IF(OFFSET(CRONOPLE!$F$14,$M29,AS$13)="",10^12,OFFSET(CRONOPLE!$F$14,$M29,AS$13))))</f>
        <v>1000000000000</v>
      </c>
      <c r="AT29" s="215">
        <f ca="1">IF($D29&lt;&gt;"Serviço",0,IF(AND(AUTOEVENTO="Manual",$M29=1),0,IF(OFFSET(CRONOPLE!$F$14,$M29,AT$13)="",10^12,OFFSET(CRONOPLE!$F$14,$M29,AT$13))))</f>
        <v>1000000000000</v>
      </c>
      <c r="AU29" s="215">
        <f ca="1">IF($D29&lt;&gt;"Serviço",0,IF(AND(AUTOEVENTO="Manual",$M29=1),0,IF(OFFSET(CRONOPLE!$F$14,$M29,AU$13)="",10^12,OFFSET(CRONOPLE!$F$14,$M29,AU$13))))</f>
        <v>1000000000000</v>
      </c>
      <c r="AV29" s="215">
        <f ca="1">IF($D29&lt;&gt;"Serviço",0,IF(AND(AUTOEVENTO="Manual",$M29=1),0,IF(OFFSET(CRONOPLE!$F$14,$M29,AV$13)="",10^12,OFFSET(CRONOPLE!$F$14,$M29,AV$13))))</f>
        <v>1000000000000</v>
      </c>
      <c r="AX29" s="216">
        <f ca="1">IF($D29&lt;&gt;"Serviço",0,IF(OR(AND(AUTOEVENTO="Manual",$M29=1),$M29&gt;(ROW(PLE.lastrow)-ROW(PLE.firstrow))),0,IF(OFFSET(PLE!$G$14,$M29,AX$13)="",10^12,OFFSET(PLE!$G$14,$M29,AX$13))))</f>
        <v>1</v>
      </c>
      <c r="AY29" s="216">
        <f ca="1">IF($D29&lt;&gt;"Serviço",0,IF(OR(AND(AUTOEVENTO="Manual",$M29=1),$M29&gt;(ROW(PLE.lastrow)-ROW(PLE.firstrow))),0,IF(OFFSET(PLE!$G$14,$M29,AY$13)="",10^12,OFFSET(PLE!$G$14,$M29,AY$13))))</f>
        <v>1000000000000</v>
      </c>
      <c r="AZ29" s="216">
        <f ca="1">IF($D29&lt;&gt;"Serviço",0,IF(OR(AND(AUTOEVENTO="Manual",$M29=1),$M29&gt;(ROW(PLE.lastrow)-ROW(PLE.firstrow))),0,IF(OFFSET(PLE!$G$14,$M29,AZ$13)="",10^12,OFFSET(PLE!$G$14,$M29,AZ$13))))</f>
        <v>1000000000000</v>
      </c>
      <c r="BA29" s="216">
        <f ca="1">IF($D29&lt;&gt;"Serviço",0,IF(OR(AND(AUTOEVENTO="Manual",$M29=1),$M29&gt;(ROW(PLE.lastrow)-ROW(PLE.firstrow))),0,IF(OFFSET(PLE!$G$14,$M29,BA$13)="",10^12,OFFSET(PLE!$G$14,$M29,BA$13))))</f>
        <v>1000000000000</v>
      </c>
      <c r="BB29" s="216">
        <f ca="1">IF($D29&lt;&gt;"Serviço",0,IF(OR(AND(AUTOEVENTO="Manual",$M29=1),$M29&gt;(ROW(PLE.lastrow)-ROW(PLE.firstrow))),0,IF(OFFSET(PLE!$G$14,$M29,BB$13)="",10^12,OFFSET(PLE!$G$14,$M29,BB$13))))</f>
        <v>1000000000000</v>
      </c>
      <c r="BC29" s="216">
        <f ca="1">IF($D29&lt;&gt;"Serviço",0,IF(OR(AND(AUTOEVENTO="Manual",$M29=1),$M29&gt;(ROW(PLE.lastrow)-ROW(PLE.firstrow))),0,IF(OFFSET(PLE!$G$14,$M29,BC$13)="",10^12,OFFSET(PLE!$G$14,$M29,BC$13))))</f>
        <v>1000000000000</v>
      </c>
      <c r="BD29" s="216">
        <f ca="1">IF($D29&lt;&gt;"Serviço",0,IF(OR(AND(AUTOEVENTO="Manual",$M29=1),$M29&gt;(ROW(PLE.lastrow)-ROW(PLE.firstrow))),0,IF(OFFSET(PLE!$G$14,$M29,BD$13)="",10^12,OFFSET(PLE!$G$14,$M29,BD$13))))</f>
        <v>1000000000000</v>
      </c>
      <c r="BE29" s="216">
        <f ca="1">IF($D29&lt;&gt;"Serviço",0,IF(OR(AND(AUTOEVENTO="Manual",$M29=1),$M29&gt;(ROW(PLE.lastrow)-ROW(PLE.firstrow))),0,IF(OFFSET(PLE!$G$14,$M29,BE$13)="",10^12,OFFSET(PLE!$G$14,$M29,BE$13))))</f>
        <v>1000000000000</v>
      </c>
      <c r="BF29" s="216">
        <f ca="1">IF($D29&lt;&gt;"Serviço",0,IF(OR(AND(AUTOEVENTO="Manual",$M29=1),$M29&gt;(ROW(PLE.lastrow)-ROW(PLE.firstrow))),0,IF(OFFSET(PLE!$G$14,$M29,BF$13)="",10^12,OFFSET(PLE!$G$14,$M29,BF$13))))</f>
        <v>1000000000000</v>
      </c>
      <c r="BG29" s="216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x14ac:dyDescent="0.2">
      <c r="A30" s="9" t="str">
        <f t="shared" ca="1" si="8"/>
        <v>2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5" t="str">
        <f ca="1">OFFSET(ORÇAMENTO!N$15,ROW(D30)-ROW(D$15),0)</f>
        <v>Serviço</v>
      </c>
      <c r="E30" s="205" t="str">
        <f ca="1">OFFSET(ORÇAMENTO!O$15,ROW(E30)-ROW(E$15),0)</f>
        <v>-</v>
      </c>
      <c r="F30" s="206" t="str">
        <f ca="1">OFFSET(ORÇAMENTO!R$15,ROW(F30)-ROW(F$15),0)</f>
        <v>(abra o arquivo 'Referência 05-2023.xls)</v>
      </c>
      <c r="G30" s="207" t="str">
        <f ca="1">IF($D30&lt;&gt;"Serviço","",OFFSET(ORÇAMENTO!S$15,ROW(G30)-ROW(G$15),0))</f>
        <v>-</v>
      </c>
      <c r="H30" s="151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1"/>
      <c r="K30" s="208"/>
      <c r="L30" s="209" t="s">
        <v>254</v>
      </c>
      <c r="M30" s="210">
        <f ca="1">IF($D30&lt;&gt;"Serviço","",IF(AUTOEVENTO="manual",$A30,IF(ISERROR(MATCH($A30,$A$15:OFFSET($A30,-1,0),0)),MAX($M$15:OFFSET(M30,-1,0))+1,INDEX($M$15:OFFSET(M30,-1,0),MATCH($A30,$A$15:OFFSET($A30,-1,0),0)))))</f>
        <v>2</v>
      </c>
      <c r="N30" s="211" t="str">
        <f ca="1">IF($D30&lt;&gt;"Serviço","",IF(AUTOEVENTO="Manual",IF($A30=0,"&lt;-- defina o número do agrupador",OFFSET(EVENTOS!$D$14,$A30,0)),OFFSET($F$15,$A30,0)))</f>
        <v>SERVIÇOS PRELIMINARES</v>
      </c>
      <c r="O30" s="212"/>
      <c r="Q30" s="212"/>
      <c r="R30" s="213"/>
      <c r="S30" s="213"/>
      <c r="T30" s="213"/>
      <c r="U30" s="213"/>
      <c r="V30" s="213"/>
      <c r="W30" s="213"/>
      <c r="X30" s="213"/>
      <c r="Y30" s="213"/>
      <c r="Z30" s="214"/>
      <c r="AB30" s="592">
        <f ca="1">IF(AND($D30="Serviço",AB$12&lt;&gt;0,$H30&gt;0,OR(AUTOEVENTO&lt;&gt;"manual",$M30&lt;&gt;1)),ROUND(OFFSET($P30,0,AB$13),15-13*ORÇAMENTO!$AF$7)/$H30*OFFSET(ORÇAMENTO!$X$15,ROW(AB30)-ROW(AB$15),0),0)</f>
        <v>0</v>
      </c>
      <c r="AC30" s="593">
        <f ca="1">IF(AND($D30="Serviço",AC$12&lt;&gt;0,$H30&gt;0,OR(AUTOEVENTO&lt;&gt;"manual",$M30&lt;&gt;1)),ROUND(OFFSET($P30,0,AC$13),15-13*ORÇAMENTO!$AF$7)/$H30*OFFSET(ORÇAMENTO!$X$15,ROW(AC30)-ROW(AC$15),0),0)</f>
        <v>0</v>
      </c>
      <c r="AD30" s="593">
        <f ca="1">IF(AND($D30="Serviço",AD$12&lt;&gt;0,$H30&gt;0,OR(AUTOEVENTO&lt;&gt;"manual",$M30&lt;&gt;1)),ROUND(OFFSET($P30,0,AD$13),15-13*ORÇAMENTO!$AF$7)/$H30*OFFSET(ORÇAMENTO!$X$15,ROW(AD30)-ROW(AD$15),0),0)</f>
        <v>0</v>
      </c>
      <c r="AE30" s="593">
        <f ca="1">IF(AND($D30="Serviço",AE$12&lt;&gt;0,$H30&gt;0,OR(AUTOEVENTO&lt;&gt;"manual",$M30&lt;&gt;1)),ROUND(OFFSET($P30,0,AE$13),15-13*ORÇAMENTO!$AF$7)/$H30*OFFSET(ORÇAMENTO!$X$15,ROW(AE30)-ROW(AE$15),0),0)</f>
        <v>0</v>
      </c>
      <c r="AF30" s="593">
        <f ca="1">IF(AND($D30="Serviço",AF$12&lt;&gt;0,$H30&gt;0,OR(AUTOEVENTO&lt;&gt;"manual",$M30&lt;&gt;1)),ROUND(OFFSET($P30,0,AF$13),15-13*ORÇAMENTO!$AF$7)/$H30*OFFSET(ORÇAMENTO!$X$15,ROW(AF30)-ROW(AF$15),0),0)</f>
        <v>0</v>
      </c>
      <c r="AG30" s="593">
        <f ca="1">IF(AND($D30="Serviço",AG$12&lt;&gt;0,$H30&gt;0,OR(AUTOEVENTO&lt;&gt;"manual",$M30&lt;&gt;1)),ROUND(OFFSET($P30,0,AG$13),15-13*ORÇAMENTO!$AF$7)/$H30*OFFSET(ORÇAMENTO!$X$15,ROW(AG30)-ROW(AG$15),0),0)</f>
        <v>0</v>
      </c>
      <c r="AH30" s="593">
        <f ca="1">IF(AND($D30="Serviço",AH$12&lt;&gt;0,$H30&gt;0,OR(AUTOEVENTO&lt;&gt;"manual",$M30&lt;&gt;1)),ROUND(OFFSET($P30,0,AH$13),15-13*ORÇAMENTO!$AF$7)/$H30*OFFSET(ORÇAMENTO!$X$15,ROW(AH30)-ROW(AH$15),0),0)</f>
        <v>0</v>
      </c>
      <c r="AI30" s="593">
        <f ca="1">IF(AND($D30="Serviço",AI$12&lt;&gt;0,$H30&gt;0,OR(AUTOEVENTO&lt;&gt;"manual",$M30&lt;&gt;1)),ROUND(OFFSET($P30,0,AI$13),15-13*ORÇAMENTO!$AF$7)/$H30*OFFSET(ORÇAMENTO!$X$15,ROW(AI30)-ROW(AI$15),0),0)</f>
        <v>0</v>
      </c>
      <c r="AJ30" s="593">
        <f ca="1">IF(AND($D30="Serviço",AJ$12&lt;&gt;0,$H30&gt;0,OR(AUTOEVENTO&lt;&gt;"manual",$M30&lt;&gt;1)),ROUND(OFFSET($P30,0,AJ$13),15-13*ORÇAMENTO!$AF$7)/$H30*OFFSET(ORÇAMENTO!$X$15,ROW(AJ30)-ROW(AJ$15),0),0)</f>
        <v>0</v>
      </c>
      <c r="AK30" s="594">
        <f ca="1">IF(AND($D30="Serviço",AK$12&lt;&gt;0,$H30&gt;0,OR(AUTOEVENTO&lt;&gt;"manual",$M30&lt;&gt;1)),ROUND(OFFSET($P30,0,AK$13),15-13*ORÇAMENTO!$AF$7)/$H30*OFFSET(ORÇAMENTO!$X$15,ROW(AK30)-ROW(AK$15),0),0)</f>
        <v>0</v>
      </c>
      <c r="AM30" s="215">
        <f ca="1">IF($D30&lt;&gt;"Serviço",0,IF(AND(AUTOEVENTO="Manual",$M30=1),0,IF(OFFSET(CRONOPLE!$F$14,$M30,AM$13)="",10^12,OFFSET(CRONOPLE!$F$14,$M30,AM$13))))</f>
        <v>1</v>
      </c>
      <c r="AN30" s="215">
        <f ca="1">IF($D30&lt;&gt;"Serviço",0,IF(AND(AUTOEVENTO="Manual",$M30=1),0,IF(OFFSET(CRONOPLE!$F$14,$M30,AN$13)="",10^12,OFFSET(CRONOPLE!$F$14,$M30,AN$13))))</f>
        <v>1000000000000</v>
      </c>
      <c r="AO30" s="215">
        <f ca="1">IF($D30&lt;&gt;"Serviço",0,IF(AND(AUTOEVENTO="Manual",$M30=1),0,IF(OFFSET(CRONOPLE!$F$14,$M30,AO$13)="",10^12,OFFSET(CRONOPLE!$F$14,$M30,AO$13))))</f>
        <v>1000000000000</v>
      </c>
      <c r="AP30" s="215">
        <f ca="1">IF($D30&lt;&gt;"Serviço",0,IF(AND(AUTOEVENTO="Manual",$M30=1),0,IF(OFFSET(CRONOPLE!$F$14,$M30,AP$13)="",10^12,OFFSET(CRONOPLE!$F$14,$M30,AP$13))))</f>
        <v>1000000000000</v>
      </c>
      <c r="AQ30" s="215">
        <f ca="1">IF($D30&lt;&gt;"Serviço",0,IF(AND(AUTOEVENTO="Manual",$M30=1),0,IF(OFFSET(CRONOPLE!$F$14,$M30,AQ$13)="",10^12,OFFSET(CRONOPLE!$F$14,$M30,AQ$13))))</f>
        <v>1000000000000</v>
      </c>
      <c r="AR30" s="215">
        <f ca="1">IF($D30&lt;&gt;"Serviço",0,IF(AND(AUTOEVENTO="Manual",$M30=1),0,IF(OFFSET(CRONOPLE!$F$14,$M30,AR$13)="",10^12,OFFSET(CRONOPLE!$F$14,$M30,AR$13))))</f>
        <v>1000000000000</v>
      </c>
      <c r="AS30" s="215">
        <f ca="1">IF($D30&lt;&gt;"Serviço",0,IF(AND(AUTOEVENTO="Manual",$M30=1),0,IF(OFFSET(CRONOPLE!$F$14,$M30,AS$13)="",10^12,OFFSET(CRONOPLE!$F$14,$M30,AS$13))))</f>
        <v>1000000000000</v>
      </c>
      <c r="AT30" s="215">
        <f ca="1">IF($D30&lt;&gt;"Serviço",0,IF(AND(AUTOEVENTO="Manual",$M30=1),0,IF(OFFSET(CRONOPLE!$F$14,$M30,AT$13)="",10^12,OFFSET(CRONOPLE!$F$14,$M30,AT$13))))</f>
        <v>1000000000000</v>
      </c>
      <c r="AU30" s="215">
        <f ca="1">IF($D30&lt;&gt;"Serviço",0,IF(AND(AUTOEVENTO="Manual",$M30=1),0,IF(OFFSET(CRONOPLE!$F$14,$M30,AU$13)="",10^12,OFFSET(CRONOPLE!$F$14,$M30,AU$13))))</f>
        <v>1000000000000</v>
      </c>
      <c r="AV30" s="215">
        <f ca="1">IF($D30&lt;&gt;"Serviço",0,IF(AND(AUTOEVENTO="Manual",$M30=1),0,IF(OFFSET(CRONOPLE!$F$14,$M30,AV$13)="",10^12,OFFSET(CRONOPLE!$F$14,$M30,AV$13))))</f>
        <v>1000000000000</v>
      </c>
      <c r="AX30" s="216">
        <f ca="1">IF($D30&lt;&gt;"Serviço",0,IF(OR(AND(AUTOEVENTO="Manual",$M30=1),$M30&gt;(ROW(PLE.lastrow)-ROW(PLE.firstrow))),0,IF(OFFSET(PLE!$G$14,$M30,AX$13)="",10^12,OFFSET(PLE!$G$14,$M30,AX$13))))</f>
        <v>1</v>
      </c>
      <c r="AY30" s="216">
        <f ca="1">IF($D30&lt;&gt;"Serviço",0,IF(OR(AND(AUTOEVENTO="Manual",$M30=1),$M30&gt;(ROW(PLE.lastrow)-ROW(PLE.firstrow))),0,IF(OFFSET(PLE!$G$14,$M30,AY$13)="",10^12,OFFSET(PLE!$G$14,$M30,AY$13))))</f>
        <v>1000000000000</v>
      </c>
      <c r="AZ30" s="216">
        <f ca="1">IF($D30&lt;&gt;"Serviço",0,IF(OR(AND(AUTOEVENTO="Manual",$M30=1),$M30&gt;(ROW(PLE.lastrow)-ROW(PLE.firstrow))),0,IF(OFFSET(PLE!$G$14,$M30,AZ$13)="",10^12,OFFSET(PLE!$G$14,$M30,AZ$13))))</f>
        <v>1000000000000</v>
      </c>
      <c r="BA30" s="216">
        <f ca="1">IF($D30&lt;&gt;"Serviço",0,IF(OR(AND(AUTOEVENTO="Manual",$M30=1),$M30&gt;(ROW(PLE.lastrow)-ROW(PLE.firstrow))),0,IF(OFFSET(PLE!$G$14,$M30,BA$13)="",10^12,OFFSET(PLE!$G$14,$M30,BA$13))))</f>
        <v>1000000000000</v>
      </c>
      <c r="BB30" s="216">
        <f ca="1">IF($D30&lt;&gt;"Serviço",0,IF(OR(AND(AUTOEVENTO="Manual",$M30=1),$M30&gt;(ROW(PLE.lastrow)-ROW(PLE.firstrow))),0,IF(OFFSET(PLE!$G$14,$M30,BB$13)="",10^12,OFFSET(PLE!$G$14,$M30,BB$13))))</f>
        <v>1000000000000</v>
      </c>
      <c r="BC30" s="216">
        <f ca="1">IF($D30&lt;&gt;"Serviço",0,IF(OR(AND(AUTOEVENTO="Manual",$M30=1),$M30&gt;(ROW(PLE.lastrow)-ROW(PLE.firstrow))),0,IF(OFFSET(PLE!$G$14,$M30,BC$13)="",10^12,OFFSET(PLE!$G$14,$M30,BC$13))))</f>
        <v>1000000000000</v>
      </c>
      <c r="BD30" s="216">
        <f ca="1">IF($D30&lt;&gt;"Serviço",0,IF(OR(AND(AUTOEVENTO="Manual",$M30=1),$M30&gt;(ROW(PLE.lastrow)-ROW(PLE.firstrow))),0,IF(OFFSET(PLE!$G$14,$M30,BD$13)="",10^12,OFFSET(PLE!$G$14,$M30,BD$13))))</f>
        <v>1000000000000</v>
      </c>
      <c r="BE30" s="216">
        <f ca="1">IF($D30&lt;&gt;"Serviço",0,IF(OR(AND(AUTOEVENTO="Manual",$M30=1),$M30&gt;(ROW(PLE.lastrow)-ROW(PLE.firstrow))),0,IF(OFFSET(PLE!$G$14,$M30,BE$13)="",10^12,OFFSET(PLE!$G$14,$M30,BE$13))))</f>
        <v>1000000000000</v>
      </c>
      <c r="BF30" s="216">
        <f ca="1">IF($D30&lt;&gt;"Serviço",0,IF(OR(AND(AUTOEVENTO="Manual",$M30=1),$M30&gt;(ROW(PLE.lastrow)-ROW(PLE.firstrow))),0,IF(OFFSET(PLE!$G$14,$M30,BF$13)="",10^12,OFFSET(PLE!$G$14,$M30,BF$13))))</f>
        <v>1000000000000</v>
      </c>
      <c r="BG30" s="216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x14ac:dyDescent="0.2">
      <c r="A31" s="9" t="str">
        <f t="shared" ca="1" si="8"/>
        <v>2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5" t="str">
        <f ca="1">OFFSET(ORÇAMENTO!N$15,ROW(D31)-ROW(D$15),0)</f>
        <v>Serviço</v>
      </c>
      <c r="E31" s="205" t="str">
        <f ca="1">OFFSET(ORÇAMENTO!O$15,ROW(E31)-ROW(E$15),0)</f>
        <v>-</v>
      </c>
      <c r="F31" s="206" t="str">
        <f ca="1">OFFSET(ORÇAMENTO!R$15,ROW(F31)-ROW(F$15),0)</f>
        <v>(abra o arquivo 'Referência 05-2023.xls)</v>
      </c>
      <c r="G31" s="207" t="str">
        <f ca="1">IF($D31&lt;&gt;"Serviço","",OFFSET(ORÇAMENTO!S$15,ROW(G31)-ROW(G$15),0))</f>
        <v>-</v>
      </c>
      <c r="H31" s="151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1"/>
      <c r="K31" s="208"/>
      <c r="L31" s="209" t="s">
        <v>254</v>
      </c>
      <c r="M31" s="210">
        <f ca="1">IF($D31&lt;&gt;"Serviço","",IF(AUTOEVENTO="manual",$A31,IF(ISERROR(MATCH($A31,$A$15:OFFSET($A31,-1,0),0)),MAX($M$15:OFFSET(M31,-1,0))+1,INDEX($M$15:OFFSET(M31,-1,0),MATCH($A31,$A$15:OFFSET($A31,-1,0),0)))))</f>
        <v>2</v>
      </c>
      <c r="N31" s="211" t="str">
        <f ca="1">IF($D31&lt;&gt;"Serviço","",IF(AUTOEVENTO="Manual",IF($A31=0,"&lt;-- defina o número do agrupador",OFFSET(EVENTOS!$D$14,$A31,0)),OFFSET($F$15,$A31,0)))</f>
        <v>SERVIÇOS PRELIMINARES</v>
      </c>
      <c r="O31" s="212"/>
      <c r="Q31" s="212"/>
      <c r="R31" s="213"/>
      <c r="S31" s="213"/>
      <c r="T31" s="213"/>
      <c r="U31" s="213"/>
      <c r="V31" s="213"/>
      <c r="W31" s="213"/>
      <c r="X31" s="213"/>
      <c r="Y31" s="213"/>
      <c r="Z31" s="214"/>
      <c r="AB31" s="592">
        <f ca="1">IF(AND($D31="Serviço",AB$12&lt;&gt;0,$H31&gt;0,OR(AUTOEVENTO&lt;&gt;"manual",$M31&lt;&gt;1)),ROUND(OFFSET($P31,0,AB$13),15-13*ORÇAMENTO!$AF$7)/$H31*OFFSET(ORÇAMENTO!$X$15,ROW(AB31)-ROW(AB$15),0),0)</f>
        <v>0</v>
      </c>
      <c r="AC31" s="593">
        <f ca="1">IF(AND($D31="Serviço",AC$12&lt;&gt;0,$H31&gt;0,OR(AUTOEVENTO&lt;&gt;"manual",$M31&lt;&gt;1)),ROUND(OFFSET($P31,0,AC$13),15-13*ORÇAMENTO!$AF$7)/$H31*OFFSET(ORÇAMENTO!$X$15,ROW(AC31)-ROW(AC$15),0),0)</f>
        <v>0</v>
      </c>
      <c r="AD31" s="593">
        <f ca="1">IF(AND($D31="Serviço",AD$12&lt;&gt;0,$H31&gt;0,OR(AUTOEVENTO&lt;&gt;"manual",$M31&lt;&gt;1)),ROUND(OFFSET($P31,0,AD$13),15-13*ORÇAMENTO!$AF$7)/$H31*OFFSET(ORÇAMENTO!$X$15,ROW(AD31)-ROW(AD$15),0),0)</f>
        <v>0</v>
      </c>
      <c r="AE31" s="593">
        <f ca="1">IF(AND($D31="Serviço",AE$12&lt;&gt;0,$H31&gt;0,OR(AUTOEVENTO&lt;&gt;"manual",$M31&lt;&gt;1)),ROUND(OFFSET($P31,0,AE$13),15-13*ORÇAMENTO!$AF$7)/$H31*OFFSET(ORÇAMENTO!$X$15,ROW(AE31)-ROW(AE$15),0),0)</f>
        <v>0</v>
      </c>
      <c r="AF31" s="593">
        <f ca="1">IF(AND($D31="Serviço",AF$12&lt;&gt;0,$H31&gt;0,OR(AUTOEVENTO&lt;&gt;"manual",$M31&lt;&gt;1)),ROUND(OFFSET($P31,0,AF$13),15-13*ORÇAMENTO!$AF$7)/$H31*OFFSET(ORÇAMENTO!$X$15,ROW(AF31)-ROW(AF$15),0),0)</f>
        <v>0</v>
      </c>
      <c r="AG31" s="593">
        <f ca="1">IF(AND($D31="Serviço",AG$12&lt;&gt;0,$H31&gt;0,OR(AUTOEVENTO&lt;&gt;"manual",$M31&lt;&gt;1)),ROUND(OFFSET($P31,0,AG$13),15-13*ORÇAMENTO!$AF$7)/$H31*OFFSET(ORÇAMENTO!$X$15,ROW(AG31)-ROW(AG$15),0),0)</f>
        <v>0</v>
      </c>
      <c r="AH31" s="593">
        <f ca="1">IF(AND($D31="Serviço",AH$12&lt;&gt;0,$H31&gt;0,OR(AUTOEVENTO&lt;&gt;"manual",$M31&lt;&gt;1)),ROUND(OFFSET($P31,0,AH$13),15-13*ORÇAMENTO!$AF$7)/$H31*OFFSET(ORÇAMENTO!$X$15,ROW(AH31)-ROW(AH$15),0),0)</f>
        <v>0</v>
      </c>
      <c r="AI31" s="593">
        <f ca="1">IF(AND($D31="Serviço",AI$12&lt;&gt;0,$H31&gt;0,OR(AUTOEVENTO&lt;&gt;"manual",$M31&lt;&gt;1)),ROUND(OFFSET($P31,0,AI$13),15-13*ORÇAMENTO!$AF$7)/$H31*OFFSET(ORÇAMENTO!$X$15,ROW(AI31)-ROW(AI$15),0),0)</f>
        <v>0</v>
      </c>
      <c r="AJ31" s="593">
        <f ca="1">IF(AND($D31="Serviço",AJ$12&lt;&gt;0,$H31&gt;0,OR(AUTOEVENTO&lt;&gt;"manual",$M31&lt;&gt;1)),ROUND(OFFSET($P31,0,AJ$13),15-13*ORÇAMENTO!$AF$7)/$H31*OFFSET(ORÇAMENTO!$X$15,ROW(AJ31)-ROW(AJ$15),0),0)</f>
        <v>0</v>
      </c>
      <c r="AK31" s="594">
        <f ca="1">IF(AND($D31="Serviço",AK$12&lt;&gt;0,$H31&gt;0,OR(AUTOEVENTO&lt;&gt;"manual",$M31&lt;&gt;1)),ROUND(OFFSET($P31,0,AK$13),15-13*ORÇAMENTO!$AF$7)/$H31*OFFSET(ORÇAMENTO!$X$15,ROW(AK31)-ROW(AK$15),0),0)</f>
        <v>0</v>
      </c>
      <c r="AM31" s="215">
        <f ca="1">IF($D31&lt;&gt;"Serviço",0,IF(AND(AUTOEVENTO="Manual",$M31=1),0,IF(OFFSET(CRONOPLE!$F$14,$M31,AM$13)="",10^12,OFFSET(CRONOPLE!$F$14,$M31,AM$13))))</f>
        <v>1</v>
      </c>
      <c r="AN31" s="215">
        <f ca="1">IF($D31&lt;&gt;"Serviço",0,IF(AND(AUTOEVENTO="Manual",$M31=1),0,IF(OFFSET(CRONOPLE!$F$14,$M31,AN$13)="",10^12,OFFSET(CRONOPLE!$F$14,$M31,AN$13))))</f>
        <v>1000000000000</v>
      </c>
      <c r="AO31" s="215">
        <f ca="1">IF($D31&lt;&gt;"Serviço",0,IF(AND(AUTOEVENTO="Manual",$M31=1),0,IF(OFFSET(CRONOPLE!$F$14,$M31,AO$13)="",10^12,OFFSET(CRONOPLE!$F$14,$M31,AO$13))))</f>
        <v>1000000000000</v>
      </c>
      <c r="AP31" s="215">
        <f ca="1">IF($D31&lt;&gt;"Serviço",0,IF(AND(AUTOEVENTO="Manual",$M31=1),0,IF(OFFSET(CRONOPLE!$F$14,$M31,AP$13)="",10^12,OFFSET(CRONOPLE!$F$14,$M31,AP$13))))</f>
        <v>1000000000000</v>
      </c>
      <c r="AQ31" s="215">
        <f ca="1">IF($D31&lt;&gt;"Serviço",0,IF(AND(AUTOEVENTO="Manual",$M31=1),0,IF(OFFSET(CRONOPLE!$F$14,$M31,AQ$13)="",10^12,OFFSET(CRONOPLE!$F$14,$M31,AQ$13))))</f>
        <v>1000000000000</v>
      </c>
      <c r="AR31" s="215">
        <f ca="1">IF($D31&lt;&gt;"Serviço",0,IF(AND(AUTOEVENTO="Manual",$M31=1),0,IF(OFFSET(CRONOPLE!$F$14,$M31,AR$13)="",10^12,OFFSET(CRONOPLE!$F$14,$M31,AR$13))))</f>
        <v>1000000000000</v>
      </c>
      <c r="AS31" s="215">
        <f ca="1">IF($D31&lt;&gt;"Serviço",0,IF(AND(AUTOEVENTO="Manual",$M31=1),0,IF(OFFSET(CRONOPLE!$F$14,$M31,AS$13)="",10^12,OFFSET(CRONOPLE!$F$14,$M31,AS$13))))</f>
        <v>1000000000000</v>
      </c>
      <c r="AT31" s="215">
        <f ca="1">IF($D31&lt;&gt;"Serviço",0,IF(AND(AUTOEVENTO="Manual",$M31=1),0,IF(OFFSET(CRONOPLE!$F$14,$M31,AT$13)="",10^12,OFFSET(CRONOPLE!$F$14,$M31,AT$13))))</f>
        <v>1000000000000</v>
      </c>
      <c r="AU31" s="215">
        <f ca="1">IF($D31&lt;&gt;"Serviço",0,IF(AND(AUTOEVENTO="Manual",$M31=1),0,IF(OFFSET(CRONOPLE!$F$14,$M31,AU$13)="",10^12,OFFSET(CRONOPLE!$F$14,$M31,AU$13))))</f>
        <v>1000000000000</v>
      </c>
      <c r="AV31" s="215">
        <f ca="1">IF($D31&lt;&gt;"Serviço",0,IF(AND(AUTOEVENTO="Manual",$M31=1),0,IF(OFFSET(CRONOPLE!$F$14,$M31,AV$13)="",10^12,OFFSET(CRONOPLE!$F$14,$M31,AV$13))))</f>
        <v>1000000000000</v>
      </c>
      <c r="AX31" s="216">
        <f ca="1">IF($D31&lt;&gt;"Serviço",0,IF(OR(AND(AUTOEVENTO="Manual",$M31=1),$M31&gt;(ROW(PLE.lastrow)-ROW(PLE.firstrow))),0,IF(OFFSET(PLE!$G$14,$M31,AX$13)="",10^12,OFFSET(PLE!$G$14,$M31,AX$13))))</f>
        <v>1</v>
      </c>
      <c r="AY31" s="216">
        <f ca="1">IF($D31&lt;&gt;"Serviço",0,IF(OR(AND(AUTOEVENTO="Manual",$M31=1),$M31&gt;(ROW(PLE.lastrow)-ROW(PLE.firstrow))),0,IF(OFFSET(PLE!$G$14,$M31,AY$13)="",10^12,OFFSET(PLE!$G$14,$M31,AY$13))))</f>
        <v>1000000000000</v>
      </c>
      <c r="AZ31" s="216">
        <f ca="1">IF($D31&lt;&gt;"Serviço",0,IF(OR(AND(AUTOEVENTO="Manual",$M31=1),$M31&gt;(ROW(PLE.lastrow)-ROW(PLE.firstrow))),0,IF(OFFSET(PLE!$G$14,$M31,AZ$13)="",10^12,OFFSET(PLE!$G$14,$M31,AZ$13))))</f>
        <v>1000000000000</v>
      </c>
      <c r="BA31" s="216">
        <f ca="1">IF($D31&lt;&gt;"Serviço",0,IF(OR(AND(AUTOEVENTO="Manual",$M31=1),$M31&gt;(ROW(PLE.lastrow)-ROW(PLE.firstrow))),0,IF(OFFSET(PLE!$G$14,$M31,BA$13)="",10^12,OFFSET(PLE!$G$14,$M31,BA$13))))</f>
        <v>1000000000000</v>
      </c>
      <c r="BB31" s="216">
        <f ca="1">IF($D31&lt;&gt;"Serviço",0,IF(OR(AND(AUTOEVENTO="Manual",$M31=1),$M31&gt;(ROW(PLE.lastrow)-ROW(PLE.firstrow))),0,IF(OFFSET(PLE!$G$14,$M31,BB$13)="",10^12,OFFSET(PLE!$G$14,$M31,BB$13))))</f>
        <v>1000000000000</v>
      </c>
      <c r="BC31" s="216">
        <f ca="1">IF($D31&lt;&gt;"Serviço",0,IF(OR(AND(AUTOEVENTO="Manual",$M31=1),$M31&gt;(ROW(PLE.lastrow)-ROW(PLE.firstrow))),0,IF(OFFSET(PLE!$G$14,$M31,BC$13)="",10^12,OFFSET(PLE!$G$14,$M31,BC$13))))</f>
        <v>1000000000000</v>
      </c>
      <c r="BD31" s="216">
        <f ca="1">IF($D31&lt;&gt;"Serviço",0,IF(OR(AND(AUTOEVENTO="Manual",$M31=1),$M31&gt;(ROW(PLE.lastrow)-ROW(PLE.firstrow))),0,IF(OFFSET(PLE!$G$14,$M31,BD$13)="",10^12,OFFSET(PLE!$G$14,$M31,BD$13))))</f>
        <v>1000000000000</v>
      </c>
      <c r="BE31" s="216">
        <f ca="1">IF($D31&lt;&gt;"Serviço",0,IF(OR(AND(AUTOEVENTO="Manual",$M31=1),$M31&gt;(ROW(PLE.lastrow)-ROW(PLE.firstrow))),0,IF(OFFSET(PLE!$G$14,$M31,BE$13)="",10^12,OFFSET(PLE!$G$14,$M31,BE$13))))</f>
        <v>1000000000000</v>
      </c>
      <c r="BF31" s="216">
        <f ca="1">IF($D31&lt;&gt;"Serviço",0,IF(OR(AND(AUTOEVENTO="Manual",$M31=1),$M31&gt;(ROW(PLE.lastrow)-ROW(PLE.firstrow))),0,IF(OFFSET(PLE!$G$14,$M31,BF$13)="",10^12,OFFSET(PLE!$G$14,$M31,BF$13))))</f>
        <v>1000000000000</v>
      </c>
      <c r="BG31" s="216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2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5" t="str">
        <f ca="1">OFFSET(ORÇAMENTO!N$15,ROW(D32)-ROW(D$15),0)</f>
        <v>Serviço</v>
      </c>
      <c r="E32" s="205" t="str">
        <f ca="1">OFFSET(ORÇAMENTO!O$15,ROW(E32)-ROW(E$15),0)</f>
        <v>-</v>
      </c>
      <c r="F32" s="206" t="str">
        <f ca="1">OFFSET(ORÇAMENTO!R$15,ROW(F32)-ROW(F$15),0)</f>
        <v>(abra o arquivo 'Referência 05-2023.xls)</v>
      </c>
      <c r="G32" s="207" t="str">
        <f ca="1">IF($D32&lt;&gt;"Serviço","",OFFSET(ORÇAMENTO!S$15,ROW(G32)-ROW(G$15),0))</f>
        <v>-</v>
      </c>
      <c r="H32" s="151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1"/>
      <c r="K32" s="208"/>
      <c r="L32" s="209" t="s">
        <v>254</v>
      </c>
      <c r="M32" s="210">
        <f ca="1">IF($D32&lt;&gt;"Serviço","",IF(AUTOEVENTO="manual",$A32,IF(ISERROR(MATCH($A32,$A$15:OFFSET($A32,-1,0),0)),MAX($M$15:OFFSET(M32,-1,0))+1,INDEX($M$15:OFFSET(M32,-1,0),MATCH($A32,$A$15:OFFSET($A32,-1,0),0)))))</f>
        <v>2</v>
      </c>
      <c r="N32" s="211" t="str">
        <f ca="1">IF($D32&lt;&gt;"Serviço","",IF(AUTOEVENTO="Manual",IF($A32=0,"&lt;-- defina o número do agrupador",OFFSET(EVENTOS!$D$14,$A32,0)),OFFSET($F$15,$A32,0)))</f>
        <v>SERVIÇOS PRELIMINARES</v>
      </c>
      <c r="O32" s="212"/>
      <c r="Q32" s="212"/>
      <c r="R32" s="213"/>
      <c r="S32" s="213"/>
      <c r="T32" s="213"/>
      <c r="U32" s="213"/>
      <c r="V32" s="213"/>
      <c r="W32" s="213"/>
      <c r="X32" s="213"/>
      <c r="Y32" s="213"/>
      <c r="Z32" s="214"/>
      <c r="AB32" s="592">
        <f ca="1">IF(AND($D32="Serviço",AB$12&lt;&gt;0,$H32&gt;0,OR(AUTOEVENTO&lt;&gt;"manual",$M32&lt;&gt;1)),ROUND(OFFSET($P32,0,AB$13),15-13*ORÇAMENTO!$AF$7)/$H32*OFFSET(ORÇAMENTO!$X$15,ROW(AB32)-ROW(AB$15),0),0)</f>
        <v>0</v>
      </c>
      <c r="AC32" s="593">
        <f ca="1">IF(AND($D32="Serviço",AC$12&lt;&gt;0,$H32&gt;0,OR(AUTOEVENTO&lt;&gt;"manual",$M32&lt;&gt;1)),ROUND(OFFSET($P32,0,AC$13),15-13*ORÇAMENTO!$AF$7)/$H32*OFFSET(ORÇAMENTO!$X$15,ROW(AC32)-ROW(AC$15),0),0)</f>
        <v>0</v>
      </c>
      <c r="AD32" s="593">
        <f ca="1">IF(AND($D32="Serviço",AD$12&lt;&gt;0,$H32&gt;0,OR(AUTOEVENTO&lt;&gt;"manual",$M32&lt;&gt;1)),ROUND(OFFSET($P32,0,AD$13),15-13*ORÇAMENTO!$AF$7)/$H32*OFFSET(ORÇAMENTO!$X$15,ROW(AD32)-ROW(AD$15),0),0)</f>
        <v>0</v>
      </c>
      <c r="AE32" s="593">
        <f ca="1">IF(AND($D32="Serviço",AE$12&lt;&gt;0,$H32&gt;0,OR(AUTOEVENTO&lt;&gt;"manual",$M32&lt;&gt;1)),ROUND(OFFSET($P32,0,AE$13),15-13*ORÇAMENTO!$AF$7)/$H32*OFFSET(ORÇAMENTO!$X$15,ROW(AE32)-ROW(AE$15),0),0)</f>
        <v>0</v>
      </c>
      <c r="AF32" s="593">
        <f ca="1">IF(AND($D32="Serviço",AF$12&lt;&gt;0,$H32&gt;0,OR(AUTOEVENTO&lt;&gt;"manual",$M32&lt;&gt;1)),ROUND(OFFSET($P32,0,AF$13),15-13*ORÇAMENTO!$AF$7)/$H32*OFFSET(ORÇAMENTO!$X$15,ROW(AF32)-ROW(AF$15),0),0)</f>
        <v>0</v>
      </c>
      <c r="AG32" s="593">
        <f ca="1">IF(AND($D32="Serviço",AG$12&lt;&gt;0,$H32&gt;0,OR(AUTOEVENTO&lt;&gt;"manual",$M32&lt;&gt;1)),ROUND(OFFSET($P32,0,AG$13),15-13*ORÇAMENTO!$AF$7)/$H32*OFFSET(ORÇAMENTO!$X$15,ROW(AG32)-ROW(AG$15),0),0)</f>
        <v>0</v>
      </c>
      <c r="AH32" s="593">
        <f ca="1">IF(AND($D32="Serviço",AH$12&lt;&gt;0,$H32&gt;0,OR(AUTOEVENTO&lt;&gt;"manual",$M32&lt;&gt;1)),ROUND(OFFSET($P32,0,AH$13),15-13*ORÇAMENTO!$AF$7)/$H32*OFFSET(ORÇAMENTO!$X$15,ROW(AH32)-ROW(AH$15),0),0)</f>
        <v>0</v>
      </c>
      <c r="AI32" s="593">
        <f ca="1">IF(AND($D32="Serviço",AI$12&lt;&gt;0,$H32&gt;0,OR(AUTOEVENTO&lt;&gt;"manual",$M32&lt;&gt;1)),ROUND(OFFSET($P32,0,AI$13),15-13*ORÇAMENTO!$AF$7)/$H32*OFFSET(ORÇAMENTO!$X$15,ROW(AI32)-ROW(AI$15),0),0)</f>
        <v>0</v>
      </c>
      <c r="AJ32" s="593">
        <f ca="1">IF(AND($D32="Serviço",AJ$12&lt;&gt;0,$H32&gt;0,OR(AUTOEVENTO&lt;&gt;"manual",$M32&lt;&gt;1)),ROUND(OFFSET($P32,0,AJ$13),15-13*ORÇAMENTO!$AF$7)/$H32*OFFSET(ORÇAMENTO!$X$15,ROW(AJ32)-ROW(AJ$15),0),0)</f>
        <v>0</v>
      </c>
      <c r="AK32" s="594">
        <f ca="1">IF(AND($D32="Serviço",AK$12&lt;&gt;0,$H32&gt;0,OR(AUTOEVENTO&lt;&gt;"manual",$M32&lt;&gt;1)),ROUND(OFFSET($P32,0,AK$13),15-13*ORÇAMENTO!$AF$7)/$H32*OFFSET(ORÇAMENTO!$X$15,ROW(AK32)-ROW(AK$15),0),0)</f>
        <v>0</v>
      </c>
      <c r="AM32" s="215">
        <f ca="1">IF($D32&lt;&gt;"Serviço",0,IF(AND(AUTOEVENTO="Manual",$M32=1),0,IF(OFFSET(CRONOPLE!$F$14,$M32,AM$13)="",10^12,OFFSET(CRONOPLE!$F$14,$M32,AM$13))))</f>
        <v>1</v>
      </c>
      <c r="AN32" s="215">
        <f ca="1">IF($D32&lt;&gt;"Serviço",0,IF(AND(AUTOEVENTO="Manual",$M32=1),0,IF(OFFSET(CRONOPLE!$F$14,$M32,AN$13)="",10^12,OFFSET(CRONOPLE!$F$14,$M32,AN$13))))</f>
        <v>1000000000000</v>
      </c>
      <c r="AO32" s="215">
        <f ca="1">IF($D32&lt;&gt;"Serviço",0,IF(AND(AUTOEVENTO="Manual",$M32=1),0,IF(OFFSET(CRONOPLE!$F$14,$M32,AO$13)="",10^12,OFFSET(CRONOPLE!$F$14,$M32,AO$13))))</f>
        <v>1000000000000</v>
      </c>
      <c r="AP32" s="215">
        <f ca="1">IF($D32&lt;&gt;"Serviço",0,IF(AND(AUTOEVENTO="Manual",$M32=1),0,IF(OFFSET(CRONOPLE!$F$14,$M32,AP$13)="",10^12,OFFSET(CRONOPLE!$F$14,$M32,AP$13))))</f>
        <v>1000000000000</v>
      </c>
      <c r="AQ32" s="215">
        <f ca="1">IF($D32&lt;&gt;"Serviço",0,IF(AND(AUTOEVENTO="Manual",$M32=1),0,IF(OFFSET(CRONOPLE!$F$14,$M32,AQ$13)="",10^12,OFFSET(CRONOPLE!$F$14,$M32,AQ$13))))</f>
        <v>1000000000000</v>
      </c>
      <c r="AR32" s="215">
        <f ca="1">IF($D32&lt;&gt;"Serviço",0,IF(AND(AUTOEVENTO="Manual",$M32=1),0,IF(OFFSET(CRONOPLE!$F$14,$M32,AR$13)="",10^12,OFFSET(CRONOPLE!$F$14,$M32,AR$13))))</f>
        <v>1000000000000</v>
      </c>
      <c r="AS32" s="215">
        <f ca="1">IF($D32&lt;&gt;"Serviço",0,IF(AND(AUTOEVENTO="Manual",$M32=1),0,IF(OFFSET(CRONOPLE!$F$14,$M32,AS$13)="",10^12,OFFSET(CRONOPLE!$F$14,$M32,AS$13))))</f>
        <v>1000000000000</v>
      </c>
      <c r="AT32" s="215">
        <f ca="1">IF($D32&lt;&gt;"Serviço",0,IF(AND(AUTOEVENTO="Manual",$M32=1),0,IF(OFFSET(CRONOPLE!$F$14,$M32,AT$13)="",10^12,OFFSET(CRONOPLE!$F$14,$M32,AT$13))))</f>
        <v>1000000000000</v>
      </c>
      <c r="AU32" s="215">
        <f ca="1">IF($D32&lt;&gt;"Serviço",0,IF(AND(AUTOEVENTO="Manual",$M32=1),0,IF(OFFSET(CRONOPLE!$F$14,$M32,AU$13)="",10^12,OFFSET(CRONOPLE!$F$14,$M32,AU$13))))</f>
        <v>1000000000000</v>
      </c>
      <c r="AV32" s="215">
        <f ca="1">IF($D32&lt;&gt;"Serviço",0,IF(AND(AUTOEVENTO="Manual",$M32=1),0,IF(OFFSET(CRONOPLE!$F$14,$M32,AV$13)="",10^12,OFFSET(CRONOPLE!$F$14,$M32,AV$13))))</f>
        <v>1000000000000</v>
      </c>
      <c r="AX32" s="216">
        <f ca="1">IF($D32&lt;&gt;"Serviço",0,IF(OR(AND(AUTOEVENTO="Manual",$M32=1),$M32&gt;(ROW(PLE.lastrow)-ROW(PLE.firstrow))),0,IF(OFFSET(PLE!$G$14,$M32,AX$13)="",10^12,OFFSET(PLE!$G$14,$M32,AX$13))))</f>
        <v>1</v>
      </c>
      <c r="AY32" s="216">
        <f ca="1">IF($D32&lt;&gt;"Serviço",0,IF(OR(AND(AUTOEVENTO="Manual",$M32=1),$M32&gt;(ROW(PLE.lastrow)-ROW(PLE.firstrow))),0,IF(OFFSET(PLE!$G$14,$M32,AY$13)="",10^12,OFFSET(PLE!$G$14,$M32,AY$13))))</f>
        <v>1000000000000</v>
      </c>
      <c r="AZ32" s="216">
        <f ca="1">IF($D32&lt;&gt;"Serviço",0,IF(OR(AND(AUTOEVENTO="Manual",$M32=1),$M32&gt;(ROW(PLE.lastrow)-ROW(PLE.firstrow))),0,IF(OFFSET(PLE!$G$14,$M32,AZ$13)="",10^12,OFFSET(PLE!$G$14,$M32,AZ$13))))</f>
        <v>1000000000000</v>
      </c>
      <c r="BA32" s="216">
        <f ca="1">IF($D32&lt;&gt;"Serviço",0,IF(OR(AND(AUTOEVENTO="Manual",$M32=1),$M32&gt;(ROW(PLE.lastrow)-ROW(PLE.firstrow))),0,IF(OFFSET(PLE!$G$14,$M32,BA$13)="",10^12,OFFSET(PLE!$G$14,$M32,BA$13))))</f>
        <v>1000000000000</v>
      </c>
      <c r="BB32" s="216">
        <f ca="1">IF($D32&lt;&gt;"Serviço",0,IF(OR(AND(AUTOEVENTO="Manual",$M32=1),$M32&gt;(ROW(PLE.lastrow)-ROW(PLE.firstrow))),0,IF(OFFSET(PLE!$G$14,$M32,BB$13)="",10^12,OFFSET(PLE!$G$14,$M32,BB$13))))</f>
        <v>1000000000000</v>
      </c>
      <c r="BC32" s="216">
        <f ca="1">IF($D32&lt;&gt;"Serviço",0,IF(OR(AND(AUTOEVENTO="Manual",$M32=1),$M32&gt;(ROW(PLE.lastrow)-ROW(PLE.firstrow))),0,IF(OFFSET(PLE!$G$14,$M32,BC$13)="",10^12,OFFSET(PLE!$G$14,$M32,BC$13))))</f>
        <v>1000000000000</v>
      </c>
      <c r="BD32" s="216">
        <f ca="1">IF($D32&lt;&gt;"Serviço",0,IF(OR(AND(AUTOEVENTO="Manual",$M32=1),$M32&gt;(ROW(PLE.lastrow)-ROW(PLE.firstrow))),0,IF(OFFSET(PLE!$G$14,$M32,BD$13)="",10^12,OFFSET(PLE!$G$14,$M32,BD$13))))</f>
        <v>1000000000000</v>
      </c>
      <c r="BE32" s="216">
        <f ca="1">IF($D32&lt;&gt;"Serviço",0,IF(OR(AND(AUTOEVENTO="Manual",$M32=1),$M32&gt;(ROW(PLE.lastrow)-ROW(PLE.firstrow))),0,IF(OFFSET(PLE!$G$14,$M32,BE$13)="",10^12,OFFSET(PLE!$G$14,$M32,BE$13))))</f>
        <v>1000000000000</v>
      </c>
      <c r="BF32" s="216">
        <f ca="1">IF($D32&lt;&gt;"Serviço",0,IF(OR(AND(AUTOEVENTO="Manual",$M32=1),$M32&gt;(ROW(PLE.lastrow)-ROW(PLE.firstrow))),0,IF(OFFSET(PLE!$G$14,$M32,BF$13)="",10^12,OFFSET(PLE!$G$14,$M32,BF$13))))</f>
        <v>1000000000000</v>
      </c>
      <c r="BG32" s="216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9" t="str">
        <f t="shared" ca="1" si="8"/>
        <v>2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5" t="str">
        <f ca="1">OFFSET(ORÇAMENTO!N$15,ROW(D33)-ROW(D$15),0)</f>
        <v>Serviço</v>
      </c>
      <c r="E33" s="205" t="str">
        <f ca="1">OFFSET(ORÇAMENTO!O$15,ROW(E33)-ROW(E$15),0)</f>
        <v>-</v>
      </c>
      <c r="F33" s="206" t="str">
        <f ca="1">OFFSET(ORÇAMENTO!R$15,ROW(F33)-ROW(F$15),0)</f>
        <v>(abra o arquivo 'Referência 05-2023.xls)</v>
      </c>
      <c r="G33" s="207" t="str">
        <f ca="1">IF($D33&lt;&gt;"Serviço","",OFFSET(ORÇAMENTO!S$15,ROW(G33)-ROW(G$15),0))</f>
        <v>-</v>
      </c>
      <c r="H33" s="151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1"/>
      <c r="K33" s="208"/>
      <c r="L33" s="209" t="s">
        <v>254</v>
      </c>
      <c r="M33" s="210">
        <f ca="1">IF($D33&lt;&gt;"Serviço","",IF(AUTOEVENTO="manual",$A33,IF(ISERROR(MATCH($A33,$A$15:OFFSET($A33,-1,0),0)),MAX($M$15:OFFSET(M33,-1,0))+1,INDEX($M$15:OFFSET(M33,-1,0),MATCH($A33,$A$15:OFFSET($A33,-1,0),0)))))</f>
        <v>2</v>
      </c>
      <c r="N33" s="211" t="str">
        <f ca="1">IF($D33&lt;&gt;"Serviço","",IF(AUTOEVENTO="Manual",IF($A33=0,"&lt;-- defina o número do agrupador",OFFSET(EVENTOS!$D$14,$A33,0)),OFFSET($F$15,$A33,0)))</f>
        <v>SERVIÇOS PRELIMINARES</v>
      </c>
      <c r="O33" s="212"/>
      <c r="Q33" s="212"/>
      <c r="R33" s="213"/>
      <c r="S33" s="213"/>
      <c r="T33" s="213"/>
      <c r="U33" s="213"/>
      <c r="V33" s="213"/>
      <c r="W33" s="213"/>
      <c r="X33" s="213"/>
      <c r="Y33" s="213"/>
      <c r="Z33" s="214"/>
      <c r="AB33" s="592">
        <f ca="1">IF(AND($D33="Serviço",AB$12&lt;&gt;0,$H33&gt;0,OR(AUTOEVENTO&lt;&gt;"manual",$M33&lt;&gt;1)),ROUND(OFFSET($P33,0,AB$13),15-13*ORÇAMENTO!$AF$7)/$H33*OFFSET(ORÇAMENTO!$X$15,ROW(AB33)-ROW(AB$15),0),0)</f>
        <v>0</v>
      </c>
      <c r="AC33" s="593">
        <f ca="1">IF(AND($D33="Serviço",AC$12&lt;&gt;0,$H33&gt;0,OR(AUTOEVENTO&lt;&gt;"manual",$M33&lt;&gt;1)),ROUND(OFFSET($P33,0,AC$13),15-13*ORÇAMENTO!$AF$7)/$H33*OFFSET(ORÇAMENTO!$X$15,ROW(AC33)-ROW(AC$15),0),0)</f>
        <v>0</v>
      </c>
      <c r="AD33" s="593">
        <f ca="1">IF(AND($D33="Serviço",AD$12&lt;&gt;0,$H33&gt;0,OR(AUTOEVENTO&lt;&gt;"manual",$M33&lt;&gt;1)),ROUND(OFFSET($P33,0,AD$13),15-13*ORÇAMENTO!$AF$7)/$H33*OFFSET(ORÇAMENTO!$X$15,ROW(AD33)-ROW(AD$15),0),0)</f>
        <v>0</v>
      </c>
      <c r="AE33" s="593">
        <f ca="1">IF(AND($D33="Serviço",AE$12&lt;&gt;0,$H33&gt;0,OR(AUTOEVENTO&lt;&gt;"manual",$M33&lt;&gt;1)),ROUND(OFFSET($P33,0,AE$13),15-13*ORÇAMENTO!$AF$7)/$H33*OFFSET(ORÇAMENTO!$X$15,ROW(AE33)-ROW(AE$15),0),0)</f>
        <v>0</v>
      </c>
      <c r="AF33" s="593">
        <f ca="1">IF(AND($D33="Serviço",AF$12&lt;&gt;0,$H33&gt;0,OR(AUTOEVENTO&lt;&gt;"manual",$M33&lt;&gt;1)),ROUND(OFFSET($P33,0,AF$13),15-13*ORÇAMENTO!$AF$7)/$H33*OFFSET(ORÇAMENTO!$X$15,ROW(AF33)-ROW(AF$15),0),0)</f>
        <v>0</v>
      </c>
      <c r="AG33" s="593">
        <f ca="1">IF(AND($D33="Serviço",AG$12&lt;&gt;0,$H33&gt;0,OR(AUTOEVENTO&lt;&gt;"manual",$M33&lt;&gt;1)),ROUND(OFFSET($P33,0,AG$13),15-13*ORÇAMENTO!$AF$7)/$H33*OFFSET(ORÇAMENTO!$X$15,ROW(AG33)-ROW(AG$15),0),0)</f>
        <v>0</v>
      </c>
      <c r="AH33" s="593">
        <f ca="1">IF(AND($D33="Serviço",AH$12&lt;&gt;0,$H33&gt;0,OR(AUTOEVENTO&lt;&gt;"manual",$M33&lt;&gt;1)),ROUND(OFFSET($P33,0,AH$13),15-13*ORÇAMENTO!$AF$7)/$H33*OFFSET(ORÇAMENTO!$X$15,ROW(AH33)-ROW(AH$15),0),0)</f>
        <v>0</v>
      </c>
      <c r="AI33" s="593">
        <f ca="1">IF(AND($D33="Serviço",AI$12&lt;&gt;0,$H33&gt;0,OR(AUTOEVENTO&lt;&gt;"manual",$M33&lt;&gt;1)),ROUND(OFFSET($P33,0,AI$13),15-13*ORÇAMENTO!$AF$7)/$H33*OFFSET(ORÇAMENTO!$X$15,ROW(AI33)-ROW(AI$15),0),0)</f>
        <v>0</v>
      </c>
      <c r="AJ33" s="593">
        <f ca="1">IF(AND($D33="Serviço",AJ$12&lt;&gt;0,$H33&gt;0,OR(AUTOEVENTO&lt;&gt;"manual",$M33&lt;&gt;1)),ROUND(OFFSET($P33,0,AJ$13),15-13*ORÇAMENTO!$AF$7)/$H33*OFFSET(ORÇAMENTO!$X$15,ROW(AJ33)-ROW(AJ$15),0),0)</f>
        <v>0</v>
      </c>
      <c r="AK33" s="594">
        <f ca="1">IF(AND($D33="Serviço",AK$12&lt;&gt;0,$H33&gt;0,OR(AUTOEVENTO&lt;&gt;"manual",$M33&lt;&gt;1)),ROUND(OFFSET($P33,0,AK$13),15-13*ORÇAMENTO!$AF$7)/$H33*OFFSET(ORÇAMENTO!$X$15,ROW(AK33)-ROW(AK$15),0),0)</f>
        <v>0</v>
      </c>
      <c r="AM33" s="215">
        <f ca="1">IF($D33&lt;&gt;"Serviço",0,IF(AND(AUTOEVENTO="Manual",$M33=1),0,IF(OFFSET(CRONOPLE!$F$14,$M33,AM$13)="",10^12,OFFSET(CRONOPLE!$F$14,$M33,AM$13))))</f>
        <v>1</v>
      </c>
      <c r="AN33" s="215">
        <f ca="1">IF($D33&lt;&gt;"Serviço",0,IF(AND(AUTOEVENTO="Manual",$M33=1),0,IF(OFFSET(CRONOPLE!$F$14,$M33,AN$13)="",10^12,OFFSET(CRONOPLE!$F$14,$M33,AN$13))))</f>
        <v>1000000000000</v>
      </c>
      <c r="AO33" s="215">
        <f ca="1">IF($D33&lt;&gt;"Serviço",0,IF(AND(AUTOEVENTO="Manual",$M33=1),0,IF(OFFSET(CRONOPLE!$F$14,$M33,AO$13)="",10^12,OFFSET(CRONOPLE!$F$14,$M33,AO$13))))</f>
        <v>1000000000000</v>
      </c>
      <c r="AP33" s="215">
        <f ca="1">IF($D33&lt;&gt;"Serviço",0,IF(AND(AUTOEVENTO="Manual",$M33=1),0,IF(OFFSET(CRONOPLE!$F$14,$M33,AP$13)="",10^12,OFFSET(CRONOPLE!$F$14,$M33,AP$13))))</f>
        <v>1000000000000</v>
      </c>
      <c r="AQ33" s="215">
        <f ca="1">IF($D33&lt;&gt;"Serviço",0,IF(AND(AUTOEVENTO="Manual",$M33=1),0,IF(OFFSET(CRONOPLE!$F$14,$M33,AQ$13)="",10^12,OFFSET(CRONOPLE!$F$14,$M33,AQ$13))))</f>
        <v>1000000000000</v>
      </c>
      <c r="AR33" s="215">
        <f ca="1">IF($D33&lt;&gt;"Serviço",0,IF(AND(AUTOEVENTO="Manual",$M33=1),0,IF(OFFSET(CRONOPLE!$F$14,$M33,AR$13)="",10^12,OFFSET(CRONOPLE!$F$14,$M33,AR$13))))</f>
        <v>1000000000000</v>
      </c>
      <c r="AS33" s="215">
        <f ca="1">IF($D33&lt;&gt;"Serviço",0,IF(AND(AUTOEVENTO="Manual",$M33=1),0,IF(OFFSET(CRONOPLE!$F$14,$M33,AS$13)="",10^12,OFFSET(CRONOPLE!$F$14,$M33,AS$13))))</f>
        <v>1000000000000</v>
      </c>
      <c r="AT33" s="215">
        <f ca="1">IF($D33&lt;&gt;"Serviço",0,IF(AND(AUTOEVENTO="Manual",$M33=1),0,IF(OFFSET(CRONOPLE!$F$14,$M33,AT$13)="",10^12,OFFSET(CRONOPLE!$F$14,$M33,AT$13))))</f>
        <v>1000000000000</v>
      </c>
      <c r="AU33" s="215">
        <f ca="1">IF($D33&lt;&gt;"Serviço",0,IF(AND(AUTOEVENTO="Manual",$M33=1),0,IF(OFFSET(CRONOPLE!$F$14,$M33,AU$13)="",10^12,OFFSET(CRONOPLE!$F$14,$M33,AU$13))))</f>
        <v>1000000000000</v>
      </c>
      <c r="AV33" s="215">
        <f ca="1">IF($D33&lt;&gt;"Serviço",0,IF(AND(AUTOEVENTO="Manual",$M33=1),0,IF(OFFSET(CRONOPLE!$F$14,$M33,AV$13)="",10^12,OFFSET(CRONOPLE!$F$14,$M33,AV$13))))</f>
        <v>1000000000000</v>
      </c>
      <c r="AX33" s="216">
        <f ca="1">IF($D33&lt;&gt;"Serviço",0,IF(OR(AND(AUTOEVENTO="Manual",$M33=1),$M33&gt;(ROW(PLE.lastrow)-ROW(PLE.firstrow))),0,IF(OFFSET(PLE!$G$14,$M33,AX$13)="",10^12,OFFSET(PLE!$G$14,$M33,AX$13))))</f>
        <v>1</v>
      </c>
      <c r="AY33" s="216">
        <f ca="1">IF($D33&lt;&gt;"Serviço",0,IF(OR(AND(AUTOEVENTO="Manual",$M33=1),$M33&gt;(ROW(PLE.lastrow)-ROW(PLE.firstrow))),0,IF(OFFSET(PLE!$G$14,$M33,AY$13)="",10^12,OFFSET(PLE!$G$14,$M33,AY$13))))</f>
        <v>1000000000000</v>
      </c>
      <c r="AZ33" s="216">
        <f ca="1">IF($D33&lt;&gt;"Serviço",0,IF(OR(AND(AUTOEVENTO="Manual",$M33=1),$M33&gt;(ROW(PLE.lastrow)-ROW(PLE.firstrow))),0,IF(OFFSET(PLE!$G$14,$M33,AZ$13)="",10^12,OFFSET(PLE!$G$14,$M33,AZ$13))))</f>
        <v>1000000000000</v>
      </c>
      <c r="BA33" s="216">
        <f ca="1">IF($D33&lt;&gt;"Serviço",0,IF(OR(AND(AUTOEVENTO="Manual",$M33=1),$M33&gt;(ROW(PLE.lastrow)-ROW(PLE.firstrow))),0,IF(OFFSET(PLE!$G$14,$M33,BA$13)="",10^12,OFFSET(PLE!$G$14,$M33,BA$13))))</f>
        <v>1000000000000</v>
      </c>
      <c r="BB33" s="216">
        <f ca="1">IF($D33&lt;&gt;"Serviço",0,IF(OR(AND(AUTOEVENTO="Manual",$M33=1),$M33&gt;(ROW(PLE.lastrow)-ROW(PLE.firstrow))),0,IF(OFFSET(PLE!$G$14,$M33,BB$13)="",10^12,OFFSET(PLE!$G$14,$M33,BB$13))))</f>
        <v>1000000000000</v>
      </c>
      <c r="BC33" s="216">
        <f ca="1">IF($D33&lt;&gt;"Serviço",0,IF(OR(AND(AUTOEVENTO="Manual",$M33=1),$M33&gt;(ROW(PLE.lastrow)-ROW(PLE.firstrow))),0,IF(OFFSET(PLE!$G$14,$M33,BC$13)="",10^12,OFFSET(PLE!$G$14,$M33,BC$13))))</f>
        <v>1000000000000</v>
      </c>
      <c r="BD33" s="216">
        <f ca="1">IF($D33&lt;&gt;"Serviço",0,IF(OR(AND(AUTOEVENTO="Manual",$M33=1),$M33&gt;(ROW(PLE.lastrow)-ROW(PLE.firstrow))),0,IF(OFFSET(PLE!$G$14,$M33,BD$13)="",10^12,OFFSET(PLE!$G$14,$M33,BD$13))))</f>
        <v>1000000000000</v>
      </c>
      <c r="BE33" s="216">
        <f ca="1">IF($D33&lt;&gt;"Serviço",0,IF(OR(AND(AUTOEVENTO="Manual",$M33=1),$M33&gt;(ROW(PLE.lastrow)-ROW(PLE.firstrow))),0,IF(OFFSET(PLE!$G$14,$M33,BE$13)="",10^12,OFFSET(PLE!$G$14,$M33,BE$13))))</f>
        <v>1000000000000</v>
      </c>
      <c r="BF33" s="216">
        <f ca="1">IF($D33&lt;&gt;"Serviço",0,IF(OR(AND(AUTOEVENTO="Manual",$M33=1),$M33&gt;(ROW(PLE.lastrow)-ROW(PLE.firstrow))),0,IF(OFFSET(PLE!$G$14,$M33,BF$13)="",10^12,OFFSET(PLE!$G$14,$M33,BF$13))))</f>
        <v>1000000000000</v>
      </c>
      <c r="BG33" s="216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19.</v>
      </c>
      <c r="B34" s="9">
        <f ca="1">OFFSET(ORÇAMENTO!C$15,ROW(B34)-ROW(B$15),0)</f>
        <v>2</v>
      </c>
      <c r="C34" s="9" t="str">
        <f ca="1">OFFSET(ORÇAMENTO!L$15,ROW(C34)-ROW(C$15),0)</f>
        <v>F</v>
      </c>
      <c r="D34" s="145" t="str">
        <f ca="1">OFFSET(ORÇAMENTO!N$15,ROW(D34)-ROW(D$15),0)</f>
        <v>Nível 2</v>
      </c>
      <c r="E34" s="205" t="str">
        <f ca="1">OFFSET(ORÇAMENTO!O$15,ROW(E34)-ROW(E$15),0)</f>
        <v>1.2.</v>
      </c>
      <c r="F34" s="206" t="str">
        <f ca="1">OFFSET(ORÇAMENTO!R$15,ROW(F34)-ROW(F$15),0)</f>
        <v>ESQUADRIAS</v>
      </c>
      <c r="G34" s="207" t="str">
        <f ca="1">IF($D34&lt;&gt;"Serviço","",OFFSET(ORÇAMENTO!S$15,ROW(G34)-ROW(G$15),0))</f>
        <v/>
      </c>
      <c r="H34" s="151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1"/>
      <c r="K34" s="208"/>
      <c r="L34" s="209" t="s">
        <v>254</v>
      </c>
      <c r="M34" s="210" t="str">
        <f ca="1">IF($D34&lt;&gt;"Serviço","",IF(AUTOEVENTO="manual",$A34,IF(ISERROR(MATCH($A34,$A$15:OFFSET($A34,-1,0),0)),MAX($M$15:OFFSET(M34,-1,0))+1,INDEX($M$15:OFFSET(M34,-1,0),MATCH($A34,$A$15:OFFSET($A34,-1,0),0)))))</f>
        <v/>
      </c>
      <c r="N34" s="211" t="str">
        <f ca="1">IF($D34&lt;&gt;"Serviço","",IF(AUTOEVENTO="Manual",IF($A34=0,"&lt;-- defina o número do agrupador",OFFSET(EVENTOS!$D$14,$A34,0)),OFFSET($F$15,$A34,0)))</f>
        <v/>
      </c>
      <c r="O34" s="212"/>
      <c r="Q34" s="212"/>
      <c r="R34" s="213"/>
      <c r="S34" s="213"/>
      <c r="T34" s="213"/>
      <c r="U34" s="213"/>
      <c r="V34" s="213"/>
      <c r="W34" s="213"/>
      <c r="X34" s="213"/>
      <c r="Y34" s="213"/>
      <c r="Z34" s="214"/>
      <c r="AB34" s="592">
        <f ca="1">IF(AND($D34="Serviço",AB$12&lt;&gt;0,$H34&gt;0,OR(AUTOEVENTO&lt;&gt;"manual",$M34&lt;&gt;1)),ROUND(OFFSET($P34,0,AB$13),15-13*ORÇAMENTO!$AF$7)/$H34*OFFSET(ORÇAMENTO!$X$15,ROW(AB34)-ROW(AB$15),0),0)</f>
        <v>0</v>
      </c>
      <c r="AC34" s="593">
        <f ca="1">IF(AND($D34="Serviço",AC$12&lt;&gt;0,$H34&gt;0,OR(AUTOEVENTO&lt;&gt;"manual",$M34&lt;&gt;1)),ROUND(OFFSET($P34,0,AC$13),15-13*ORÇAMENTO!$AF$7)/$H34*OFFSET(ORÇAMENTO!$X$15,ROW(AC34)-ROW(AC$15),0),0)</f>
        <v>0</v>
      </c>
      <c r="AD34" s="593">
        <f ca="1">IF(AND($D34="Serviço",AD$12&lt;&gt;0,$H34&gt;0,OR(AUTOEVENTO&lt;&gt;"manual",$M34&lt;&gt;1)),ROUND(OFFSET($P34,0,AD$13),15-13*ORÇAMENTO!$AF$7)/$H34*OFFSET(ORÇAMENTO!$X$15,ROW(AD34)-ROW(AD$15),0),0)</f>
        <v>0</v>
      </c>
      <c r="AE34" s="593">
        <f ca="1">IF(AND($D34="Serviço",AE$12&lt;&gt;0,$H34&gt;0,OR(AUTOEVENTO&lt;&gt;"manual",$M34&lt;&gt;1)),ROUND(OFFSET($P34,0,AE$13),15-13*ORÇAMENTO!$AF$7)/$H34*OFFSET(ORÇAMENTO!$X$15,ROW(AE34)-ROW(AE$15),0),0)</f>
        <v>0</v>
      </c>
      <c r="AF34" s="593">
        <f ca="1">IF(AND($D34="Serviço",AF$12&lt;&gt;0,$H34&gt;0,OR(AUTOEVENTO&lt;&gt;"manual",$M34&lt;&gt;1)),ROUND(OFFSET($P34,0,AF$13),15-13*ORÇAMENTO!$AF$7)/$H34*OFFSET(ORÇAMENTO!$X$15,ROW(AF34)-ROW(AF$15),0),0)</f>
        <v>0</v>
      </c>
      <c r="AG34" s="593">
        <f ca="1">IF(AND($D34="Serviço",AG$12&lt;&gt;0,$H34&gt;0,OR(AUTOEVENTO&lt;&gt;"manual",$M34&lt;&gt;1)),ROUND(OFFSET($P34,0,AG$13),15-13*ORÇAMENTO!$AF$7)/$H34*OFFSET(ORÇAMENTO!$X$15,ROW(AG34)-ROW(AG$15),0),0)</f>
        <v>0</v>
      </c>
      <c r="AH34" s="593">
        <f ca="1">IF(AND($D34="Serviço",AH$12&lt;&gt;0,$H34&gt;0,OR(AUTOEVENTO&lt;&gt;"manual",$M34&lt;&gt;1)),ROUND(OFFSET($P34,0,AH$13),15-13*ORÇAMENTO!$AF$7)/$H34*OFFSET(ORÇAMENTO!$X$15,ROW(AH34)-ROW(AH$15),0),0)</f>
        <v>0</v>
      </c>
      <c r="AI34" s="593">
        <f ca="1">IF(AND($D34="Serviço",AI$12&lt;&gt;0,$H34&gt;0,OR(AUTOEVENTO&lt;&gt;"manual",$M34&lt;&gt;1)),ROUND(OFFSET($P34,0,AI$13),15-13*ORÇAMENTO!$AF$7)/$H34*OFFSET(ORÇAMENTO!$X$15,ROW(AI34)-ROW(AI$15),0),0)</f>
        <v>0</v>
      </c>
      <c r="AJ34" s="593">
        <f ca="1">IF(AND($D34="Serviço",AJ$12&lt;&gt;0,$H34&gt;0,OR(AUTOEVENTO&lt;&gt;"manual",$M34&lt;&gt;1)),ROUND(OFFSET($P34,0,AJ$13),15-13*ORÇAMENTO!$AF$7)/$H34*OFFSET(ORÇAMENTO!$X$15,ROW(AJ34)-ROW(AJ$15),0),0)</f>
        <v>0</v>
      </c>
      <c r="AK34" s="594">
        <f ca="1">IF(AND($D34="Serviço",AK$12&lt;&gt;0,$H34&gt;0,OR(AUTOEVENTO&lt;&gt;"manual",$M34&lt;&gt;1)),ROUND(OFFSET($P34,0,AK$13),15-13*ORÇAMENTO!$AF$7)/$H34*OFFSET(ORÇAMENTO!$X$15,ROW(AK34)-ROW(AK$15),0),0)</f>
        <v>0</v>
      </c>
      <c r="AM34" s="215">
        <f ca="1">IF($D34&lt;&gt;"Serviço",0,IF(AND(AUTOEVENTO="Manual",$M34=1),0,IF(OFFSET(CRONOPLE!$F$14,$M34,AM$13)="",10^12,OFFSET(CRONOPLE!$F$14,$M34,AM$13))))</f>
        <v>0</v>
      </c>
      <c r="AN34" s="215">
        <f ca="1">IF($D34&lt;&gt;"Serviço",0,IF(AND(AUTOEVENTO="Manual",$M34=1),0,IF(OFFSET(CRONOPLE!$F$14,$M34,AN$13)="",10^12,OFFSET(CRONOPLE!$F$14,$M34,AN$13))))</f>
        <v>0</v>
      </c>
      <c r="AO34" s="215">
        <f ca="1">IF($D34&lt;&gt;"Serviço",0,IF(AND(AUTOEVENTO="Manual",$M34=1),0,IF(OFFSET(CRONOPLE!$F$14,$M34,AO$13)="",10^12,OFFSET(CRONOPLE!$F$14,$M34,AO$13))))</f>
        <v>0</v>
      </c>
      <c r="AP34" s="215">
        <f ca="1">IF($D34&lt;&gt;"Serviço",0,IF(AND(AUTOEVENTO="Manual",$M34=1),0,IF(OFFSET(CRONOPLE!$F$14,$M34,AP$13)="",10^12,OFFSET(CRONOPLE!$F$14,$M34,AP$13))))</f>
        <v>0</v>
      </c>
      <c r="AQ34" s="215">
        <f ca="1">IF($D34&lt;&gt;"Serviço",0,IF(AND(AUTOEVENTO="Manual",$M34=1),0,IF(OFFSET(CRONOPLE!$F$14,$M34,AQ$13)="",10^12,OFFSET(CRONOPLE!$F$14,$M34,AQ$13))))</f>
        <v>0</v>
      </c>
      <c r="AR34" s="215">
        <f ca="1">IF($D34&lt;&gt;"Serviço",0,IF(AND(AUTOEVENTO="Manual",$M34=1),0,IF(OFFSET(CRONOPLE!$F$14,$M34,AR$13)="",10^12,OFFSET(CRONOPLE!$F$14,$M34,AR$13))))</f>
        <v>0</v>
      </c>
      <c r="AS34" s="215">
        <f ca="1">IF($D34&lt;&gt;"Serviço",0,IF(AND(AUTOEVENTO="Manual",$M34=1),0,IF(OFFSET(CRONOPLE!$F$14,$M34,AS$13)="",10^12,OFFSET(CRONOPLE!$F$14,$M34,AS$13))))</f>
        <v>0</v>
      </c>
      <c r="AT34" s="215">
        <f ca="1">IF($D34&lt;&gt;"Serviço",0,IF(AND(AUTOEVENTO="Manual",$M34=1),0,IF(OFFSET(CRONOPLE!$F$14,$M34,AT$13)="",10^12,OFFSET(CRONOPLE!$F$14,$M34,AT$13))))</f>
        <v>0</v>
      </c>
      <c r="AU34" s="215">
        <f ca="1">IF($D34&lt;&gt;"Serviço",0,IF(AND(AUTOEVENTO="Manual",$M34=1),0,IF(OFFSET(CRONOPLE!$F$14,$M34,AU$13)="",10^12,OFFSET(CRONOPLE!$F$14,$M34,AU$13))))</f>
        <v>0</v>
      </c>
      <c r="AV34" s="215">
        <f ca="1">IF($D34&lt;&gt;"Serviço",0,IF(AND(AUTOEVENTO="Manual",$M34=1),0,IF(OFFSET(CRONOPLE!$F$14,$M34,AV$13)="",10^12,OFFSET(CRONOPLE!$F$14,$M34,AV$13))))</f>
        <v>0</v>
      </c>
      <c r="AX34" s="216">
        <f ca="1">IF($D34&lt;&gt;"Serviço",0,IF(OR(AND(AUTOEVENTO="Manual",$M34=1),$M34&gt;(ROW(PLE.lastrow)-ROW(PLE.firstrow))),0,IF(OFFSET(PLE!$G$14,$M34,AX$13)="",10^12,OFFSET(PLE!$G$14,$M34,AX$13))))</f>
        <v>0</v>
      </c>
      <c r="AY34" s="216">
        <f ca="1">IF($D34&lt;&gt;"Serviço",0,IF(OR(AND(AUTOEVENTO="Manual",$M34=1),$M34&gt;(ROW(PLE.lastrow)-ROW(PLE.firstrow))),0,IF(OFFSET(PLE!$G$14,$M34,AY$13)="",10^12,OFFSET(PLE!$G$14,$M34,AY$13))))</f>
        <v>0</v>
      </c>
      <c r="AZ34" s="216">
        <f ca="1">IF($D34&lt;&gt;"Serviço",0,IF(OR(AND(AUTOEVENTO="Manual",$M34=1),$M34&gt;(ROW(PLE.lastrow)-ROW(PLE.firstrow))),0,IF(OFFSET(PLE!$G$14,$M34,AZ$13)="",10^12,OFFSET(PLE!$G$14,$M34,AZ$13))))</f>
        <v>0</v>
      </c>
      <c r="BA34" s="216">
        <f ca="1">IF($D34&lt;&gt;"Serviço",0,IF(OR(AND(AUTOEVENTO="Manual",$M34=1),$M34&gt;(ROW(PLE.lastrow)-ROW(PLE.firstrow))),0,IF(OFFSET(PLE!$G$14,$M34,BA$13)="",10^12,OFFSET(PLE!$G$14,$M34,BA$13))))</f>
        <v>0</v>
      </c>
      <c r="BB34" s="216">
        <f ca="1">IF($D34&lt;&gt;"Serviço",0,IF(OR(AND(AUTOEVENTO="Manual",$M34=1),$M34&gt;(ROW(PLE.lastrow)-ROW(PLE.firstrow))),0,IF(OFFSET(PLE!$G$14,$M34,BB$13)="",10^12,OFFSET(PLE!$G$14,$M34,BB$13))))</f>
        <v>0</v>
      </c>
      <c r="BC34" s="216">
        <f ca="1">IF($D34&lt;&gt;"Serviço",0,IF(OR(AND(AUTOEVENTO="Manual",$M34=1),$M34&gt;(ROW(PLE.lastrow)-ROW(PLE.firstrow))),0,IF(OFFSET(PLE!$G$14,$M34,BC$13)="",10^12,OFFSET(PLE!$G$14,$M34,BC$13))))</f>
        <v>0</v>
      </c>
      <c r="BD34" s="216">
        <f ca="1">IF($D34&lt;&gt;"Serviço",0,IF(OR(AND(AUTOEVENTO="Manual",$M34=1),$M34&gt;(ROW(PLE.lastrow)-ROW(PLE.firstrow))),0,IF(OFFSET(PLE!$G$14,$M34,BD$13)="",10^12,OFFSET(PLE!$G$14,$M34,BD$13))))</f>
        <v>0</v>
      </c>
      <c r="BE34" s="216">
        <f ca="1">IF($D34&lt;&gt;"Serviço",0,IF(OR(AND(AUTOEVENTO="Manual",$M34=1),$M34&gt;(ROW(PLE.lastrow)-ROW(PLE.firstrow))),0,IF(OFFSET(PLE!$G$14,$M34,BE$13)="",10^12,OFFSET(PLE!$G$14,$M34,BE$13))))</f>
        <v>0</v>
      </c>
      <c r="BF34" s="216">
        <f ca="1">IF($D34&lt;&gt;"Serviço",0,IF(OR(AND(AUTOEVENTO="Manual",$M34=1),$M34&gt;(ROW(PLE.lastrow)-ROW(PLE.firstrow))),0,IF(OFFSET(PLE!$G$14,$M34,BF$13)="",10^12,OFFSET(PLE!$G$14,$M34,BF$13))))</f>
        <v>0</v>
      </c>
      <c r="BG34" s="216">
        <f ca="1">IF($D34&lt;&gt;"Serviço",0,IF(OR(AND(AUTOEVENTO="Manual",$M34=1),$M34&gt;(ROW(PLE.lastrow)-ROW(PLE.firstrow))),0,IF(OFFSET(PLE!$G$14,$M34,BG$13)="",10^12,OFFSET(PLE!$G$14,$M34,BG$13))))</f>
        <v>0</v>
      </c>
    </row>
    <row r="35" spans="1:59" ht="12.75" x14ac:dyDescent="0.2">
      <c r="A35" s="9" t="str">
        <f t="shared" ca="1" si="8"/>
        <v>19</v>
      </c>
      <c r="B35" s="9" t="str">
        <f ca="1">OFFSET(ORÇAMENTO!C$15,ROW(B35)-ROW(B$15),0)</f>
        <v>S</v>
      </c>
      <c r="C35" s="9" t="str">
        <f ca="1">OFFSET(ORÇAMENTO!L$15,ROW(C35)-ROW(C$15),0)</f>
        <v>F</v>
      </c>
      <c r="D35" s="145" t="str">
        <f ca="1">OFFSET(ORÇAMENTO!N$15,ROW(D35)-ROW(D$15),0)</f>
        <v>Serviço</v>
      </c>
      <c r="E35" s="205" t="str">
        <f ca="1">OFFSET(ORÇAMENTO!O$15,ROW(E35)-ROW(E$15),0)</f>
        <v>1.2.1.</v>
      </c>
      <c r="F35" s="206" t="str">
        <f ca="1">OFFSET(ORÇAMENTO!R$15,ROW(F35)-ROW(F$15),0)</f>
        <v>(abra o arquivo 'Referência 05-2023.xls)</v>
      </c>
      <c r="G35" s="207" t="str">
        <f ca="1">IF($D35&lt;&gt;"Serviço","",OFFSET(ORÇAMENTO!S$15,ROW(G35)-ROW(G$15),0))</f>
        <v>-</v>
      </c>
      <c r="H35" s="151">
        <f ca="1">IF($D35&lt;&gt;"Serviço",0,IF(ACOMPANHAMENTO="BM",ROUND(OFFSET(ORÇAMENTO!AJ$15,ROW(H35)-ROW(H$15),0),15-13*ORÇAMENTO!$AF$7),SUMPRODUCT(($Q$12:$AA$12&lt;&gt;"")*ROUND($Q35:$AA35,15-13*ORÇAMENTO!$AF$7))))</f>
        <v>195</v>
      </c>
      <c r="I35" s="611" t="s">
        <v>458</v>
      </c>
      <c r="K35" s="208"/>
      <c r="L35" s="209" t="s">
        <v>254</v>
      </c>
      <c r="M35" s="210">
        <f ca="1">IF($D35&lt;&gt;"Serviço","",IF(AUTOEVENTO="manual",$A35,IF(ISERROR(MATCH($A35,$A$15:OFFSET($A35,-1,0),0)),MAX($M$15:OFFSET(M35,-1,0))+1,INDEX($M$15:OFFSET(M35,-1,0),MATCH($A35,$A$15:OFFSET($A35,-1,0),0)))))</f>
        <v>3</v>
      </c>
      <c r="N35" s="211" t="str">
        <f ca="1">IF($D35&lt;&gt;"Serviço","",IF(AUTOEVENTO="Manual",IF($A35=0,"&lt;-- defina o número do agrupador",OFFSET(EVENTOS!$D$14,$A35,0)),OFFSET($F$15,$A35,0)))</f>
        <v>ESQUADRIAS</v>
      </c>
      <c r="O35" s="212"/>
      <c r="Q35" s="212">
        <v>98</v>
      </c>
      <c r="R35" s="213"/>
      <c r="S35" s="213"/>
      <c r="T35" s="213"/>
      <c r="U35" s="213"/>
      <c r="V35" s="213"/>
      <c r="W35" s="213"/>
      <c r="X35" s="213"/>
      <c r="Y35" s="213"/>
      <c r="Z35" s="214"/>
      <c r="AB35" s="592">
        <f ca="1">IF(AND($D35="Serviço",AB$12&lt;&gt;0,$H35&gt;0,OR(AUTOEVENTO&lt;&gt;"manual",$M35&lt;&gt;1)),ROUND(OFFSET($P35,0,AB$13),15-13*ORÇAMENTO!$AF$7)/$H35*OFFSET(ORÇAMENTO!$X$15,ROW(AB35)-ROW(AB$15),0),0)</f>
        <v>65660</v>
      </c>
      <c r="AC35" s="593">
        <f ca="1">IF(AND($D35="Serviço",AC$12&lt;&gt;0,$H35&gt;0,OR(AUTOEVENTO&lt;&gt;"manual",$M35&lt;&gt;1)),ROUND(OFFSET($P35,0,AC$13),15-13*ORÇAMENTO!$AF$7)/$H35*OFFSET(ORÇAMENTO!$X$15,ROW(AC35)-ROW(AC$15),0),0)</f>
        <v>0</v>
      </c>
      <c r="AD35" s="593">
        <f ca="1">IF(AND($D35="Serviço",AD$12&lt;&gt;0,$H35&gt;0,OR(AUTOEVENTO&lt;&gt;"manual",$M35&lt;&gt;1)),ROUND(OFFSET($P35,0,AD$13),15-13*ORÇAMENTO!$AF$7)/$H35*OFFSET(ORÇAMENTO!$X$15,ROW(AD35)-ROW(AD$15),0),0)</f>
        <v>0</v>
      </c>
      <c r="AE35" s="593">
        <f ca="1">IF(AND($D35="Serviço",AE$12&lt;&gt;0,$H35&gt;0,OR(AUTOEVENTO&lt;&gt;"manual",$M35&lt;&gt;1)),ROUND(OFFSET($P35,0,AE$13),15-13*ORÇAMENTO!$AF$7)/$H35*OFFSET(ORÇAMENTO!$X$15,ROW(AE35)-ROW(AE$15),0),0)</f>
        <v>0</v>
      </c>
      <c r="AF35" s="593">
        <f ca="1">IF(AND($D35="Serviço",AF$12&lt;&gt;0,$H35&gt;0,OR(AUTOEVENTO&lt;&gt;"manual",$M35&lt;&gt;1)),ROUND(OFFSET($P35,0,AF$13),15-13*ORÇAMENTO!$AF$7)/$H35*OFFSET(ORÇAMENTO!$X$15,ROW(AF35)-ROW(AF$15),0),0)</f>
        <v>0</v>
      </c>
      <c r="AG35" s="593">
        <f ca="1">IF(AND($D35="Serviço",AG$12&lt;&gt;0,$H35&gt;0,OR(AUTOEVENTO&lt;&gt;"manual",$M35&lt;&gt;1)),ROUND(OFFSET($P35,0,AG$13),15-13*ORÇAMENTO!$AF$7)/$H35*OFFSET(ORÇAMENTO!$X$15,ROW(AG35)-ROW(AG$15),0),0)</f>
        <v>0</v>
      </c>
      <c r="AH35" s="593">
        <f ca="1">IF(AND($D35="Serviço",AH$12&lt;&gt;0,$H35&gt;0,OR(AUTOEVENTO&lt;&gt;"manual",$M35&lt;&gt;1)),ROUND(OFFSET($P35,0,AH$13),15-13*ORÇAMENTO!$AF$7)/$H35*OFFSET(ORÇAMENTO!$X$15,ROW(AH35)-ROW(AH$15),0),0)</f>
        <v>0</v>
      </c>
      <c r="AI35" s="593">
        <f ca="1">IF(AND($D35="Serviço",AI$12&lt;&gt;0,$H35&gt;0,OR(AUTOEVENTO&lt;&gt;"manual",$M35&lt;&gt;1)),ROUND(OFFSET($P35,0,AI$13),15-13*ORÇAMENTO!$AF$7)/$H35*OFFSET(ORÇAMENTO!$X$15,ROW(AI35)-ROW(AI$15),0),0)</f>
        <v>0</v>
      </c>
      <c r="AJ35" s="593">
        <f ca="1">IF(AND($D35="Serviço",AJ$12&lt;&gt;0,$H35&gt;0,OR(AUTOEVENTO&lt;&gt;"manual",$M35&lt;&gt;1)),ROUND(OFFSET($P35,0,AJ$13),15-13*ORÇAMENTO!$AF$7)/$H35*OFFSET(ORÇAMENTO!$X$15,ROW(AJ35)-ROW(AJ$15),0),0)</f>
        <v>0</v>
      </c>
      <c r="AK35" s="594">
        <f ca="1">IF(AND($D35="Serviço",AK$12&lt;&gt;0,$H35&gt;0,OR(AUTOEVENTO&lt;&gt;"manual",$M35&lt;&gt;1)),ROUND(OFFSET($P35,0,AK$13),15-13*ORÇAMENTO!$AF$7)/$H35*OFFSET(ORÇAMENTO!$X$15,ROW(AK35)-ROW(AK$15),0),0)</f>
        <v>0</v>
      </c>
      <c r="AM35" s="215">
        <f ca="1">IF($D35&lt;&gt;"Serviço",0,IF(AND(AUTOEVENTO="Manual",$M35=1),0,IF(OFFSET(CRONOPLE!$F$14,$M35,AM$13)="",10^12,OFFSET(CRONOPLE!$F$14,$M35,AM$13))))</f>
        <v>1</v>
      </c>
      <c r="AN35" s="215">
        <f ca="1">IF($D35&lt;&gt;"Serviço",0,IF(AND(AUTOEVENTO="Manual",$M35=1),0,IF(OFFSET(CRONOPLE!$F$14,$M35,AN$13)="",10^12,OFFSET(CRONOPLE!$F$14,$M35,AN$13))))</f>
        <v>2</v>
      </c>
      <c r="AO35" s="215">
        <f ca="1">IF($D35&lt;&gt;"Serviço",0,IF(AND(AUTOEVENTO="Manual",$M35=1),0,IF(OFFSET(CRONOPLE!$F$14,$M35,AO$13)="",10^12,OFFSET(CRONOPLE!$F$14,$M35,AO$13))))</f>
        <v>1000000000000</v>
      </c>
      <c r="AP35" s="215">
        <f ca="1">IF($D35&lt;&gt;"Serviço",0,IF(AND(AUTOEVENTO="Manual",$M35=1),0,IF(OFFSET(CRONOPLE!$F$14,$M35,AP$13)="",10^12,OFFSET(CRONOPLE!$F$14,$M35,AP$13))))</f>
        <v>1000000000000</v>
      </c>
      <c r="AQ35" s="215">
        <f ca="1">IF($D35&lt;&gt;"Serviço",0,IF(AND(AUTOEVENTO="Manual",$M35=1),0,IF(OFFSET(CRONOPLE!$F$14,$M35,AQ$13)="",10^12,OFFSET(CRONOPLE!$F$14,$M35,AQ$13))))</f>
        <v>1000000000000</v>
      </c>
      <c r="AR35" s="215">
        <f ca="1">IF($D35&lt;&gt;"Serviço",0,IF(AND(AUTOEVENTO="Manual",$M35=1),0,IF(OFFSET(CRONOPLE!$F$14,$M35,AR$13)="",10^12,OFFSET(CRONOPLE!$F$14,$M35,AR$13))))</f>
        <v>1000000000000</v>
      </c>
      <c r="AS35" s="215">
        <f ca="1">IF($D35&lt;&gt;"Serviço",0,IF(AND(AUTOEVENTO="Manual",$M35=1),0,IF(OFFSET(CRONOPLE!$F$14,$M35,AS$13)="",10^12,OFFSET(CRONOPLE!$F$14,$M35,AS$13))))</f>
        <v>1000000000000</v>
      </c>
      <c r="AT35" s="215">
        <f ca="1">IF($D35&lt;&gt;"Serviço",0,IF(AND(AUTOEVENTO="Manual",$M35=1),0,IF(OFFSET(CRONOPLE!$F$14,$M35,AT$13)="",10^12,OFFSET(CRONOPLE!$F$14,$M35,AT$13))))</f>
        <v>1000000000000</v>
      </c>
      <c r="AU35" s="215">
        <f ca="1">IF($D35&lt;&gt;"Serviço",0,IF(AND(AUTOEVENTO="Manual",$M35=1),0,IF(OFFSET(CRONOPLE!$F$14,$M35,AU$13)="",10^12,OFFSET(CRONOPLE!$F$14,$M35,AU$13))))</f>
        <v>1000000000000</v>
      </c>
      <c r="AV35" s="215">
        <f ca="1">IF($D35&lt;&gt;"Serviço",0,IF(AND(AUTOEVENTO="Manual",$M35=1),0,IF(OFFSET(CRONOPLE!$F$14,$M35,AV$13)="",10^12,OFFSET(CRONOPLE!$F$14,$M35,AV$13))))</f>
        <v>1000000000000</v>
      </c>
      <c r="AX35" s="216">
        <f ca="1">IF($D35&lt;&gt;"Serviço",0,IF(OR(AND(AUTOEVENTO="Manual",$M35=1),$M35&gt;(ROW(PLE.lastrow)-ROW(PLE.firstrow))),0,IF(OFFSET(PLE!$G$14,$M35,AX$13)="",10^12,OFFSET(PLE!$G$14,$M35,AX$13))))</f>
        <v>1000000000000</v>
      </c>
      <c r="AY35" s="216">
        <f ca="1">IF($D35&lt;&gt;"Serviço",0,IF(OR(AND(AUTOEVENTO="Manual",$M35=1),$M35&gt;(ROW(PLE.lastrow)-ROW(PLE.firstrow))),0,IF(OFFSET(PLE!$G$14,$M35,AY$13)="",10^12,OFFSET(PLE!$G$14,$M35,AY$13))))</f>
        <v>1000000000000</v>
      </c>
      <c r="AZ35" s="216">
        <f ca="1">IF($D35&lt;&gt;"Serviço",0,IF(OR(AND(AUTOEVENTO="Manual",$M35=1),$M35&gt;(ROW(PLE.lastrow)-ROW(PLE.firstrow))),0,IF(OFFSET(PLE!$G$14,$M35,AZ$13)="",10^12,OFFSET(PLE!$G$14,$M35,AZ$13))))</f>
        <v>1000000000000</v>
      </c>
      <c r="BA35" s="216">
        <f ca="1">IF($D35&lt;&gt;"Serviço",0,IF(OR(AND(AUTOEVENTO="Manual",$M35=1),$M35&gt;(ROW(PLE.lastrow)-ROW(PLE.firstrow))),0,IF(OFFSET(PLE!$G$14,$M35,BA$13)="",10^12,OFFSET(PLE!$G$14,$M35,BA$13))))</f>
        <v>1000000000000</v>
      </c>
      <c r="BB35" s="216">
        <f ca="1">IF($D35&lt;&gt;"Serviço",0,IF(OR(AND(AUTOEVENTO="Manual",$M35=1),$M35&gt;(ROW(PLE.lastrow)-ROW(PLE.firstrow))),0,IF(OFFSET(PLE!$G$14,$M35,BB$13)="",10^12,OFFSET(PLE!$G$14,$M35,BB$13))))</f>
        <v>1000000000000</v>
      </c>
      <c r="BC35" s="216">
        <f ca="1">IF($D35&lt;&gt;"Serviço",0,IF(OR(AND(AUTOEVENTO="Manual",$M35=1),$M35&gt;(ROW(PLE.lastrow)-ROW(PLE.firstrow))),0,IF(OFFSET(PLE!$G$14,$M35,BC$13)="",10^12,OFFSET(PLE!$G$14,$M35,BC$13))))</f>
        <v>1000000000000</v>
      </c>
      <c r="BD35" s="216">
        <f ca="1">IF($D35&lt;&gt;"Serviço",0,IF(OR(AND(AUTOEVENTO="Manual",$M35=1),$M35&gt;(ROW(PLE.lastrow)-ROW(PLE.firstrow))),0,IF(OFFSET(PLE!$G$14,$M35,BD$13)="",10^12,OFFSET(PLE!$G$14,$M35,BD$13))))</f>
        <v>1000000000000</v>
      </c>
      <c r="BE35" s="216">
        <f ca="1">IF($D35&lt;&gt;"Serviço",0,IF(OR(AND(AUTOEVENTO="Manual",$M35=1),$M35&gt;(ROW(PLE.lastrow)-ROW(PLE.firstrow))),0,IF(OFFSET(PLE!$G$14,$M35,BE$13)="",10^12,OFFSET(PLE!$G$14,$M35,BE$13))))</f>
        <v>1000000000000</v>
      </c>
      <c r="BF35" s="216">
        <f ca="1">IF($D35&lt;&gt;"Serviço",0,IF(OR(AND(AUTOEVENTO="Manual",$M35=1),$M35&gt;(ROW(PLE.lastrow)-ROW(PLE.firstrow))),0,IF(OFFSET(PLE!$G$14,$M35,BF$13)="",10^12,OFFSET(PLE!$G$14,$M35,BF$13))))</f>
        <v>1000000000000</v>
      </c>
      <c r="BG35" s="216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19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5" t="str">
        <f ca="1">OFFSET(ORÇAMENTO!N$15,ROW(D36)-ROW(D$15),0)</f>
        <v>Serviço</v>
      </c>
      <c r="E36" s="205" t="str">
        <f ca="1">OFFSET(ORÇAMENTO!O$15,ROW(E36)-ROW(E$15),0)</f>
        <v>1.2.2.</v>
      </c>
      <c r="F36" s="206" t="str">
        <f ca="1">OFFSET(ORÇAMENTO!R$15,ROW(F36)-ROW(F$15),0)</f>
        <v>(abra o arquivo 'Referência 05-2023.xls)</v>
      </c>
      <c r="G36" s="207" t="str">
        <f ca="1">IF($D36&lt;&gt;"Serviço","",OFFSET(ORÇAMENTO!S$15,ROW(G36)-ROW(G$15),0))</f>
        <v>-</v>
      </c>
      <c r="H36" s="151">
        <f ca="1">IF($D36&lt;&gt;"Serviço",0,IF(ACOMPANHAMENTO="BM",ROUND(OFFSET(ORÇAMENTO!AJ$15,ROW(H36)-ROW(H$15),0),15-13*ORÇAMENTO!$AF$7),SUMPRODUCT(($Q$12:$AA$12&lt;&gt;"")*ROUND($Q36:$AA36,15-13*ORÇAMENTO!$AF$7))))</f>
        <v>15.08</v>
      </c>
      <c r="I36" s="611" t="s">
        <v>460</v>
      </c>
      <c r="K36" s="208"/>
      <c r="L36" s="209" t="s">
        <v>254</v>
      </c>
      <c r="M36" s="210">
        <f ca="1">IF($D36&lt;&gt;"Serviço","",IF(AUTOEVENTO="manual",$A36,IF(ISERROR(MATCH($A36,$A$15:OFFSET($A36,-1,0),0)),MAX($M$15:OFFSET(M36,-1,0))+1,INDEX($M$15:OFFSET(M36,-1,0),MATCH($A36,$A$15:OFFSET($A36,-1,0),0)))))</f>
        <v>3</v>
      </c>
      <c r="N36" s="211" t="str">
        <f ca="1">IF($D36&lt;&gt;"Serviço","",IF(AUTOEVENTO="Manual",IF($A36=0,"&lt;-- defina o número do agrupador",OFFSET(EVENTOS!$D$14,$A36,0)),OFFSET($F$15,$A36,0)))</f>
        <v>ESQUADRIAS</v>
      </c>
      <c r="O36" s="212"/>
      <c r="Q36" s="212">
        <v>11.6</v>
      </c>
      <c r="R36" s="213"/>
      <c r="S36" s="213"/>
      <c r="T36" s="213"/>
      <c r="U36" s="213"/>
      <c r="V36" s="213"/>
      <c r="W36" s="213"/>
      <c r="X36" s="213"/>
      <c r="Y36" s="213"/>
      <c r="Z36" s="214"/>
      <c r="AB36" s="592">
        <f ca="1">IF(AND($D36="Serviço",AB$12&lt;&gt;0,$H36&gt;0,OR(AUTOEVENTO&lt;&gt;"manual",$M36&lt;&gt;1)),ROUND(OFFSET($P36,0,AB$13),15-13*ORÇAMENTO!$AF$7)/$H36*OFFSET(ORÇAMENTO!$X$15,ROW(AB36)-ROW(AB$15),0),0)</f>
        <v>11760.430769230768</v>
      </c>
      <c r="AC36" s="593">
        <f ca="1">IF(AND($D36="Serviço",AC$12&lt;&gt;0,$H36&gt;0,OR(AUTOEVENTO&lt;&gt;"manual",$M36&lt;&gt;1)),ROUND(OFFSET($P36,0,AC$13),15-13*ORÇAMENTO!$AF$7)/$H36*OFFSET(ORÇAMENTO!$X$15,ROW(AC36)-ROW(AC$15),0),0)</f>
        <v>0</v>
      </c>
      <c r="AD36" s="593">
        <f ca="1">IF(AND($D36="Serviço",AD$12&lt;&gt;0,$H36&gt;0,OR(AUTOEVENTO&lt;&gt;"manual",$M36&lt;&gt;1)),ROUND(OFFSET($P36,0,AD$13),15-13*ORÇAMENTO!$AF$7)/$H36*OFFSET(ORÇAMENTO!$X$15,ROW(AD36)-ROW(AD$15),0),0)</f>
        <v>0</v>
      </c>
      <c r="AE36" s="593">
        <f ca="1">IF(AND($D36="Serviço",AE$12&lt;&gt;0,$H36&gt;0,OR(AUTOEVENTO&lt;&gt;"manual",$M36&lt;&gt;1)),ROUND(OFFSET($P36,0,AE$13),15-13*ORÇAMENTO!$AF$7)/$H36*OFFSET(ORÇAMENTO!$X$15,ROW(AE36)-ROW(AE$15),0),0)</f>
        <v>0</v>
      </c>
      <c r="AF36" s="593">
        <f ca="1">IF(AND($D36="Serviço",AF$12&lt;&gt;0,$H36&gt;0,OR(AUTOEVENTO&lt;&gt;"manual",$M36&lt;&gt;1)),ROUND(OFFSET($P36,0,AF$13),15-13*ORÇAMENTO!$AF$7)/$H36*OFFSET(ORÇAMENTO!$X$15,ROW(AF36)-ROW(AF$15),0),0)</f>
        <v>0</v>
      </c>
      <c r="AG36" s="593">
        <f ca="1">IF(AND($D36="Serviço",AG$12&lt;&gt;0,$H36&gt;0,OR(AUTOEVENTO&lt;&gt;"manual",$M36&lt;&gt;1)),ROUND(OFFSET($P36,0,AG$13),15-13*ORÇAMENTO!$AF$7)/$H36*OFFSET(ORÇAMENTO!$X$15,ROW(AG36)-ROW(AG$15),0),0)</f>
        <v>0</v>
      </c>
      <c r="AH36" s="593">
        <f ca="1">IF(AND($D36="Serviço",AH$12&lt;&gt;0,$H36&gt;0,OR(AUTOEVENTO&lt;&gt;"manual",$M36&lt;&gt;1)),ROUND(OFFSET($P36,0,AH$13),15-13*ORÇAMENTO!$AF$7)/$H36*OFFSET(ORÇAMENTO!$X$15,ROW(AH36)-ROW(AH$15),0),0)</f>
        <v>0</v>
      </c>
      <c r="AI36" s="593">
        <f ca="1">IF(AND($D36="Serviço",AI$12&lt;&gt;0,$H36&gt;0,OR(AUTOEVENTO&lt;&gt;"manual",$M36&lt;&gt;1)),ROUND(OFFSET($P36,0,AI$13),15-13*ORÇAMENTO!$AF$7)/$H36*OFFSET(ORÇAMENTO!$X$15,ROW(AI36)-ROW(AI$15),0),0)</f>
        <v>0</v>
      </c>
      <c r="AJ36" s="593">
        <f ca="1">IF(AND($D36="Serviço",AJ$12&lt;&gt;0,$H36&gt;0,OR(AUTOEVENTO&lt;&gt;"manual",$M36&lt;&gt;1)),ROUND(OFFSET($P36,0,AJ$13),15-13*ORÇAMENTO!$AF$7)/$H36*OFFSET(ORÇAMENTO!$X$15,ROW(AJ36)-ROW(AJ$15),0),0)</f>
        <v>0</v>
      </c>
      <c r="AK36" s="594">
        <f ca="1">IF(AND($D36="Serviço",AK$12&lt;&gt;0,$H36&gt;0,OR(AUTOEVENTO&lt;&gt;"manual",$M36&lt;&gt;1)),ROUND(OFFSET($P36,0,AK$13),15-13*ORÇAMENTO!$AF$7)/$H36*OFFSET(ORÇAMENTO!$X$15,ROW(AK36)-ROW(AK$15),0),0)</f>
        <v>0</v>
      </c>
      <c r="AM36" s="215">
        <f ca="1">IF($D36&lt;&gt;"Serviço",0,IF(AND(AUTOEVENTO="Manual",$M36=1),0,IF(OFFSET(CRONOPLE!$F$14,$M36,AM$13)="",10^12,OFFSET(CRONOPLE!$F$14,$M36,AM$13))))</f>
        <v>1</v>
      </c>
      <c r="AN36" s="215">
        <f ca="1">IF($D36&lt;&gt;"Serviço",0,IF(AND(AUTOEVENTO="Manual",$M36=1),0,IF(OFFSET(CRONOPLE!$F$14,$M36,AN$13)="",10^12,OFFSET(CRONOPLE!$F$14,$M36,AN$13))))</f>
        <v>2</v>
      </c>
      <c r="AO36" s="215">
        <f ca="1">IF($D36&lt;&gt;"Serviço",0,IF(AND(AUTOEVENTO="Manual",$M36=1),0,IF(OFFSET(CRONOPLE!$F$14,$M36,AO$13)="",10^12,OFFSET(CRONOPLE!$F$14,$M36,AO$13))))</f>
        <v>1000000000000</v>
      </c>
      <c r="AP36" s="215">
        <f ca="1">IF($D36&lt;&gt;"Serviço",0,IF(AND(AUTOEVENTO="Manual",$M36=1),0,IF(OFFSET(CRONOPLE!$F$14,$M36,AP$13)="",10^12,OFFSET(CRONOPLE!$F$14,$M36,AP$13))))</f>
        <v>1000000000000</v>
      </c>
      <c r="AQ36" s="215">
        <f ca="1">IF($D36&lt;&gt;"Serviço",0,IF(AND(AUTOEVENTO="Manual",$M36=1),0,IF(OFFSET(CRONOPLE!$F$14,$M36,AQ$13)="",10^12,OFFSET(CRONOPLE!$F$14,$M36,AQ$13))))</f>
        <v>1000000000000</v>
      </c>
      <c r="AR36" s="215">
        <f ca="1">IF($D36&lt;&gt;"Serviço",0,IF(AND(AUTOEVENTO="Manual",$M36=1),0,IF(OFFSET(CRONOPLE!$F$14,$M36,AR$13)="",10^12,OFFSET(CRONOPLE!$F$14,$M36,AR$13))))</f>
        <v>1000000000000</v>
      </c>
      <c r="AS36" s="215">
        <f ca="1">IF($D36&lt;&gt;"Serviço",0,IF(AND(AUTOEVENTO="Manual",$M36=1),0,IF(OFFSET(CRONOPLE!$F$14,$M36,AS$13)="",10^12,OFFSET(CRONOPLE!$F$14,$M36,AS$13))))</f>
        <v>1000000000000</v>
      </c>
      <c r="AT36" s="215">
        <f ca="1">IF($D36&lt;&gt;"Serviço",0,IF(AND(AUTOEVENTO="Manual",$M36=1),0,IF(OFFSET(CRONOPLE!$F$14,$M36,AT$13)="",10^12,OFFSET(CRONOPLE!$F$14,$M36,AT$13))))</f>
        <v>1000000000000</v>
      </c>
      <c r="AU36" s="215">
        <f ca="1">IF($D36&lt;&gt;"Serviço",0,IF(AND(AUTOEVENTO="Manual",$M36=1),0,IF(OFFSET(CRONOPLE!$F$14,$M36,AU$13)="",10^12,OFFSET(CRONOPLE!$F$14,$M36,AU$13))))</f>
        <v>1000000000000</v>
      </c>
      <c r="AV36" s="215">
        <f ca="1">IF($D36&lt;&gt;"Serviço",0,IF(AND(AUTOEVENTO="Manual",$M36=1),0,IF(OFFSET(CRONOPLE!$F$14,$M36,AV$13)="",10^12,OFFSET(CRONOPLE!$F$14,$M36,AV$13))))</f>
        <v>1000000000000</v>
      </c>
      <c r="AX36" s="216">
        <f ca="1">IF($D36&lt;&gt;"Serviço",0,IF(OR(AND(AUTOEVENTO="Manual",$M36=1),$M36&gt;(ROW(PLE.lastrow)-ROW(PLE.firstrow))),0,IF(OFFSET(PLE!$G$14,$M36,AX$13)="",10^12,OFFSET(PLE!$G$14,$M36,AX$13))))</f>
        <v>1000000000000</v>
      </c>
      <c r="AY36" s="216">
        <f ca="1">IF($D36&lt;&gt;"Serviço",0,IF(OR(AND(AUTOEVENTO="Manual",$M36=1),$M36&gt;(ROW(PLE.lastrow)-ROW(PLE.firstrow))),0,IF(OFFSET(PLE!$G$14,$M36,AY$13)="",10^12,OFFSET(PLE!$G$14,$M36,AY$13))))</f>
        <v>1000000000000</v>
      </c>
      <c r="AZ36" s="216">
        <f ca="1">IF($D36&lt;&gt;"Serviço",0,IF(OR(AND(AUTOEVENTO="Manual",$M36=1),$M36&gt;(ROW(PLE.lastrow)-ROW(PLE.firstrow))),0,IF(OFFSET(PLE!$G$14,$M36,AZ$13)="",10^12,OFFSET(PLE!$G$14,$M36,AZ$13))))</f>
        <v>1000000000000</v>
      </c>
      <c r="BA36" s="216">
        <f ca="1">IF($D36&lt;&gt;"Serviço",0,IF(OR(AND(AUTOEVENTO="Manual",$M36=1),$M36&gt;(ROW(PLE.lastrow)-ROW(PLE.firstrow))),0,IF(OFFSET(PLE!$G$14,$M36,BA$13)="",10^12,OFFSET(PLE!$G$14,$M36,BA$13))))</f>
        <v>1000000000000</v>
      </c>
      <c r="BB36" s="216">
        <f ca="1">IF($D36&lt;&gt;"Serviço",0,IF(OR(AND(AUTOEVENTO="Manual",$M36=1),$M36&gt;(ROW(PLE.lastrow)-ROW(PLE.firstrow))),0,IF(OFFSET(PLE!$G$14,$M36,BB$13)="",10^12,OFFSET(PLE!$G$14,$M36,BB$13))))</f>
        <v>1000000000000</v>
      </c>
      <c r="BC36" s="216">
        <f ca="1">IF($D36&lt;&gt;"Serviço",0,IF(OR(AND(AUTOEVENTO="Manual",$M36=1),$M36&gt;(ROW(PLE.lastrow)-ROW(PLE.firstrow))),0,IF(OFFSET(PLE!$G$14,$M36,BC$13)="",10^12,OFFSET(PLE!$G$14,$M36,BC$13))))</f>
        <v>1000000000000</v>
      </c>
      <c r="BD36" s="216">
        <f ca="1">IF($D36&lt;&gt;"Serviço",0,IF(OR(AND(AUTOEVENTO="Manual",$M36=1),$M36&gt;(ROW(PLE.lastrow)-ROW(PLE.firstrow))),0,IF(OFFSET(PLE!$G$14,$M36,BD$13)="",10^12,OFFSET(PLE!$G$14,$M36,BD$13))))</f>
        <v>1000000000000</v>
      </c>
      <c r="BE36" s="216">
        <f ca="1">IF($D36&lt;&gt;"Serviço",0,IF(OR(AND(AUTOEVENTO="Manual",$M36=1),$M36&gt;(ROW(PLE.lastrow)-ROW(PLE.firstrow))),0,IF(OFFSET(PLE!$G$14,$M36,BE$13)="",10^12,OFFSET(PLE!$G$14,$M36,BE$13))))</f>
        <v>1000000000000</v>
      </c>
      <c r="BF36" s="216">
        <f ca="1">IF($D36&lt;&gt;"Serviço",0,IF(OR(AND(AUTOEVENTO="Manual",$M36=1),$M36&gt;(ROW(PLE.lastrow)-ROW(PLE.firstrow))),0,IF(OFFSET(PLE!$G$14,$M36,BF$13)="",10^12,OFFSET(PLE!$G$14,$M36,BF$13))))</f>
        <v>1000000000000</v>
      </c>
      <c r="BG36" s="216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19</v>
      </c>
      <c r="B37" s="9" t="str">
        <f ca="1">OFFSET(ORÇAMENTO!C$15,ROW(B37)-ROW(B$15),0)</f>
        <v>S</v>
      </c>
      <c r="C37" s="9" t="str">
        <f ca="1">OFFSET(ORÇAMENTO!L$15,ROW(C37)-ROW(C$15),0)</f>
        <v>F</v>
      </c>
      <c r="D37" s="145" t="str">
        <f ca="1">OFFSET(ORÇAMENTO!N$15,ROW(D37)-ROW(D$15),0)</f>
        <v>Serviço</v>
      </c>
      <c r="E37" s="205" t="str">
        <f ca="1">OFFSET(ORÇAMENTO!O$15,ROW(E37)-ROW(E$15),0)</f>
        <v>1.2.3.</v>
      </c>
      <c r="F37" s="206" t="str">
        <f ca="1">OFFSET(ORÇAMENTO!R$15,ROW(F37)-ROW(F$15),0)</f>
        <v>(abra o arquivo 'Referência 05-2023.xls)</v>
      </c>
      <c r="G37" s="207" t="str">
        <f ca="1">IF($D37&lt;&gt;"Serviço","",OFFSET(ORÇAMENTO!S$15,ROW(G37)-ROW(G$15),0))</f>
        <v>-</v>
      </c>
      <c r="H37" s="151">
        <f ca="1">IF($D37&lt;&gt;"Serviço",0,IF(ACOMPANHAMENTO="BM",ROUND(OFFSET(ORÇAMENTO!AJ$15,ROW(H37)-ROW(H$15),0),15-13*ORÇAMENTO!$AF$7),SUMPRODUCT(($Q$12:$AA$12&lt;&gt;"")*ROUND($Q37:$AA37,15-13*ORÇAMENTO!$AF$7))))</f>
        <v>106</v>
      </c>
      <c r="I37" s="611" t="s">
        <v>463</v>
      </c>
      <c r="K37" s="208"/>
      <c r="L37" s="209" t="s">
        <v>254</v>
      </c>
      <c r="M37" s="210">
        <f ca="1">IF($D37&lt;&gt;"Serviço","",IF(AUTOEVENTO="manual",$A37,IF(ISERROR(MATCH($A37,$A$15:OFFSET($A37,-1,0),0)),MAX($M$15:OFFSET(M37,-1,0))+1,INDEX($M$15:OFFSET(M37,-1,0),MATCH($A37,$A$15:OFFSET($A37,-1,0),0)))))</f>
        <v>3</v>
      </c>
      <c r="N37" s="211" t="str">
        <f ca="1">IF($D37&lt;&gt;"Serviço","",IF(AUTOEVENTO="Manual",IF($A37=0,"&lt;-- defina o número do agrupador",OFFSET(EVENTOS!$D$14,$A37,0)),OFFSET($F$15,$A37,0)))</f>
        <v>ESQUADRIAS</v>
      </c>
      <c r="O37" s="212"/>
      <c r="Q37" s="212">
        <v>45</v>
      </c>
      <c r="R37" s="213"/>
      <c r="S37" s="213"/>
      <c r="T37" s="213"/>
      <c r="U37" s="213"/>
      <c r="V37" s="213"/>
      <c r="W37" s="213"/>
      <c r="X37" s="213"/>
      <c r="Y37" s="213"/>
      <c r="Z37" s="214"/>
      <c r="AB37" s="592">
        <f ca="1">IF(AND($D37="Serviço",AB$12&lt;&gt;0,$H37&gt;0,OR(AUTOEVENTO&lt;&gt;"manual",$M37&lt;&gt;1)),ROUND(OFFSET($P37,0,AB$13),15-13*ORÇAMENTO!$AF$7)/$H37*OFFSET(ORÇAMENTO!$X$15,ROW(AB37)-ROW(AB$15),0),0)</f>
        <v>6384.6</v>
      </c>
      <c r="AC37" s="593">
        <f ca="1">IF(AND($D37="Serviço",AC$12&lt;&gt;0,$H37&gt;0,OR(AUTOEVENTO&lt;&gt;"manual",$M37&lt;&gt;1)),ROUND(OFFSET($P37,0,AC$13),15-13*ORÇAMENTO!$AF$7)/$H37*OFFSET(ORÇAMENTO!$X$15,ROW(AC37)-ROW(AC$15),0),0)</f>
        <v>0</v>
      </c>
      <c r="AD37" s="593">
        <f ca="1">IF(AND($D37="Serviço",AD$12&lt;&gt;0,$H37&gt;0,OR(AUTOEVENTO&lt;&gt;"manual",$M37&lt;&gt;1)),ROUND(OFFSET($P37,0,AD$13),15-13*ORÇAMENTO!$AF$7)/$H37*OFFSET(ORÇAMENTO!$X$15,ROW(AD37)-ROW(AD$15),0),0)</f>
        <v>0</v>
      </c>
      <c r="AE37" s="593">
        <f ca="1">IF(AND($D37="Serviço",AE$12&lt;&gt;0,$H37&gt;0,OR(AUTOEVENTO&lt;&gt;"manual",$M37&lt;&gt;1)),ROUND(OFFSET($P37,0,AE$13),15-13*ORÇAMENTO!$AF$7)/$H37*OFFSET(ORÇAMENTO!$X$15,ROW(AE37)-ROW(AE$15),0),0)</f>
        <v>0</v>
      </c>
      <c r="AF37" s="593">
        <f ca="1">IF(AND($D37="Serviço",AF$12&lt;&gt;0,$H37&gt;0,OR(AUTOEVENTO&lt;&gt;"manual",$M37&lt;&gt;1)),ROUND(OFFSET($P37,0,AF$13),15-13*ORÇAMENTO!$AF$7)/$H37*OFFSET(ORÇAMENTO!$X$15,ROW(AF37)-ROW(AF$15),0),0)</f>
        <v>0</v>
      </c>
      <c r="AG37" s="593">
        <f ca="1">IF(AND($D37="Serviço",AG$12&lt;&gt;0,$H37&gt;0,OR(AUTOEVENTO&lt;&gt;"manual",$M37&lt;&gt;1)),ROUND(OFFSET($P37,0,AG$13),15-13*ORÇAMENTO!$AF$7)/$H37*OFFSET(ORÇAMENTO!$X$15,ROW(AG37)-ROW(AG$15),0),0)</f>
        <v>0</v>
      </c>
      <c r="AH37" s="593">
        <f ca="1">IF(AND($D37="Serviço",AH$12&lt;&gt;0,$H37&gt;0,OR(AUTOEVENTO&lt;&gt;"manual",$M37&lt;&gt;1)),ROUND(OFFSET($P37,0,AH$13),15-13*ORÇAMENTO!$AF$7)/$H37*OFFSET(ORÇAMENTO!$X$15,ROW(AH37)-ROW(AH$15),0),0)</f>
        <v>0</v>
      </c>
      <c r="AI37" s="593">
        <f ca="1">IF(AND($D37="Serviço",AI$12&lt;&gt;0,$H37&gt;0,OR(AUTOEVENTO&lt;&gt;"manual",$M37&lt;&gt;1)),ROUND(OFFSET($P37,0,AI$13),15-13*ORÇAMENTO!$AF$7)/$H37*OFFSET(ORÇAMENTO!$X$15,ROW(AI37)-ROW(AI$15),0),0)</f>
        <v>0</v>
      </c>
      <c r="AJ37" s="593">
        <f ca="1">IF(AND($D37="Serviço",AJ$12&lt;&gt;0,$H37&gt;0,OR(AUTOEVENTO&lt;&gt;"manual",$M37&lt;&gt;1)),ROUND(OFFSET($P37,0,AJ$13),15-13*ORÇAMENTO!$AF$7)/$H37*OFFSET(ORÇAMENTO!$X$15,ROW(AJ37)-ROW(AJ$15),0),0)</f>
        <v>0</v>
      </c>
      <c r="AK37" s="594">
        <f ca="1">IF(AND($D37="Serviço",AK$12&lt;&gt;0,$H37&gt;0,OR(AUTOEVENTO&lt;&gt;"manual",$M37&lt;&gt;1)),ROUND(OFFSET($P37,0,AK$13),15-13*ORÇAMENTO!$AF$7)/$H37*OFFSET(ORÇAMENTO!$X$15,ROW(AK37)-ROW(AK$15),0),0)</f>
        <v>0</v>
      </c>
      <c r="AM37" s="215">
        <f ca="1">IF($D37&lt;&gt;"Serviço",0,IF(AND(AUTOEVENTO="Manual",$M37=1),0,IF(OFFSET(CRONOPLE!$F$14,$M37,AM$13)="",10^12,OFFSET(CRONOPLE!$F$14,$M37,AM$13))))</f>
        <v>1</v>
      </c>
      <c r="AN37" s="215">
        <f ca="1">IF($D37&lt;&gt;"Serviço",0,IF(AND(AUTOEVENTO="Manual",$M37=1),0,IF(OFFSET(CRONOPLE!$F$14,$M37,AN$13)="",10^12,OFFSET(CRONOPLE!$F$14,$M37,AN$13))))</f>
        <v>2</v>
      </c>
      <c r="AO37" s="215">
        <f ca="1">IF($D37&lt;&gt;"Serviço",0,IF(AND(AUTOEVENTO="Manual",$M37=1),0,IF(OFFSET(CRONOPLE!$F$14,$M37,AO$13)="",10^12,OFFSET(CRONOPLE!$F$14,$M37,AO$13))))</f>
        <v>1000000000000</v>
      </c>
      <c r="AP37" s="215">
        <f ca="1">IF($D37&lt;&gt;"Serviço",0,IF(AND(AUTOEVENTO="Manual",$M37=1),0,IF(OFFSET(CRONOPLE!$F$14,$M37,AP$13)="",10^12,OFFSET(CRONOPLE!$F$14,$M37,AP$13))))</f>
        <v>1000000000000</v>
      </c>
      <c r="AQ37" s="215">
        <f ca="1">IF($D37&lt;&gt;"Serviço",0,IF(AND(AUTOEVENTO="Manual",$M37=1),0,IF(OFFSET(CRONOPLE!$F$14,$M37,AQ$13)="",10^12,OFFSET(CRONOPLE!$F$14,$M37,AQ$13))))</f>
        <v>1000000000000</v>
      </c>
      <c r="AR37" s="215">
        <f ca="1">IF($D37&lt;&gt;"Serviço",0,IF(AND(AUTOEVENTO="Manual",$M37=1),0,IF(OFFSET(CRONOPLE!$F$14,$M37,AR$13)="",10^12,OFFSET(CRONOPLE!$F$14,$M37,AR$13))))</f>
        <v>1000000000000</v>
      </c>
      <c r="AS37" s="215">
        <f ca="1">IF($D37&lt;&gt;"Serviço",0,IF(AND(AUTOEVENTO="Manual",$M37=1),0,IF(OFFSET(CRONOPLE!$F$14,$M37,AS$13)="",10^12,OFFSET(CRONOPLE!$F$14,$M37,AS$13))))</f>
        <v>1000000000000</v>
      </c>
      <c r="AT37" s="215">
        <f ca="1">IF($D37&lt;&gt;"Serviço",0,IF(AND(AUTOEVENTO="Manual",$M37=1),0,IF(OFFSET(CRONOPLE!$F$14,$M37,AT$13)="",10^12,OFFSET(CRONOPLE!$F$14,$M37,AT$13))))</f>
        <v>1000000000000</v>
      </c>
      <c r="AU37" s="215">
        <f ca="1">IF($D37&lt;&gt;"Serviço",0,IF(AND(AUTOEVENTO="Manual",$M37=1),0,IF(OFFSET(CRONOPLE!$F$14,$M37,AU$13)="",10^12,OFFSET(CRONOPLE!$F$14,$M37,AU$13))))</f>
        <v>1000000000000</v>
      </c>
      <c r="AV37" s="215">
        <f ca="1">IF($D37&lt;&gt;"Serviço",0,IF(AND(AUTOEVENTO="Manual",$M37=1),0,IF(OFFSET(CRONOPLE!$F$14,$M37,AV$13)="",10^12,OFFSET(CRONOPLE!$F$14,$M37,AV$13))))</f>
        <v>1000000000000</v>
      </c>
      <c r="AX37" s="216">
        <f ca="1">IF($D37&lt;&gt;"Serviço",0,IF(OR(AND(AUTOEVENTO="Manual",$M37=1),$M37&gt;(ROW(PLE.lastrow)-ROW(PLE.firstrow))),0,IF(OFFSET(PLE!$G$14,$M37,AX$13)="",10^12,OFFSET(PLE!$G$14,$M37,AX$13))))</f>
        <v>1000000000000</v>
      </c>
      <c r="AY37" s="216">
        <f ca="1">IF($D37&lt;&gt;"Serviço",0,IF(OR(AND(AUTOEVENTO="Manual",$M37=1),$M37&gt;(ROW(PLE.lastrow)-ROW(PLE.firstrow))),0,IF(OFFSET(PLE!$G$14,$M37,AY$13)="",10^12,OFFSET(PLE!$G$14,$M37,AY$13))))</f>
        <v>1000000000000</v>
      </c>
      <c r="AZ37" s="216">
        <f ca="1">IF($D37&lt;&gt;"Serviço",0,IF(OR(AND(AUTOEVENTO="Manual",$M37=1),$M37&gt;(ROW(PLE.lastrow)-ROW(PLE.firstrow))),0,IF(OFFSET(PLE!$G$14,$M37,AZ$13)="",10^12,OFFSET(PLE!$G$14,$M37,AZ$13))))</f>
        <v>1000000000000</v>
      </c>
      <c r="BA37" s="216">
        <f ca="1">IF($D37&lt;&gt;"Serviço",0,IF(OR(AND(AUTOEVENTO="Manual",$M37=1),$M37&gt;(ROW(PLE.lastrow)-ROW(PLE.firstrow))),0,IF(OFFSET(PLE!$G$14,$M37,BA$13)="",10^12,OFFSET(PLE!$G$14,$M37,BA$13))))</f>
        <v>1000000000000</v>
      </c>
      <c r="BB37" s="216">
        <f ca="1">IF($D37&lt;&gt;"Serviço",0,IF(OR(AND(AUTOEVENTO="Manual",$M37=1),$M37&gt;(ROW(PLE.lastrow)-ROW(PLE.firstrow))),0,IF(OFFSET(PLE!$G$14,$M37,BB$13)="",10^12,OFFSET(PLE!$G$14,$M37,BB$13))))</f>
        <v>1000000000000</v>
      </c>
      <c r="BC37" s="216">
        <f ca="1">IF($D37&lt;&gt;"Serviço",0,IF(OR(AND(AUTOEVENTO="Manual",$M37=1),$M37&gt;(ROW(PLE.lastrow)-ROW(PLE.firstrow))),0,IF(OFFSET(PLE!$G$14,$M37,BC$13)="",10^12,OFFSET(PLE!$G$14,$M37,BC$13))))</f>
        <v>1000000000000</v>
      </c>
      <c r="BD37" s="216">
        <f ca="1">IF($D37&lt;&gt;"Serviço",0,IF(OR(AND(AUTOEVENTO="Manual",$M37=1),$M37&gt;(ROW(PLE.lastrow)-ROW(PLE.firstrow))),0,IF(OFFSET(PLE!$G$14,$M37,BD$13)="",10^12,OFFSET(PLE!$G$14,$M37,BD$13))))</f>
        <v>1000000000000</v>
      </c>
      <c r="BE37" s="216">
        <f ca="1">IF($D37&lt;&gt;"Serviço",0,IF(OR(AND(AUTOEVENTO="Manual",$M37=1),$M37&gt;(ROW(PLE.lastrow)-ROW(PLE.firstrow))),0,IF(OFFSET(PLE!$G$14,$M37,BE$13)="",10^12,OFFSET(PLE!$G$14,$M37,BE$13))))</f>
        <v>1000000000000</v>
      </c>
      <c r="BF37" s="216">
        <f ca="1">IF($D37&lt;&gt;"Serviço",0,IF(OR(AND(AUTOEVENTO="Manual",$M37=1),$M37&gt;(ROW(PLE.lastrow)-ROW(PLE.firstrow))),0,IF(OFFSET(PLE!$G$14,$M37,BF$13)="",10^12,OFFSET(PLE!$G$14,$M37,BF$13))))</f>
        <v>1000000000000</v>
      </c>
      <c r="BG37" s="216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19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5" t="str">
        <f ca="1">OFFSET(ORÇAMENTO!N$15,ROW(D38)-ROW(D$15),0)</f>
        <v>Serviço</v>
      </c>
      <c r="E38" s="205" t="str">
        <f ca="1">OFFSET(ORÇAMENTO!O$15,ROW(E38)-ROW(E$15),0)</f>
        <v>-</v>
      </c>
      <c r="F38" s="206" t="str">
        <f ca="1">OFFSET(ORÇAMENTO!R$15,ROW(F38)-ROW(F$15),0)</f>
        <v>(abra o arquivo 'Referência 05-2023.xls)</v>
      </c>
      <c r="G38" s="207" t="str">
        <f ca="1">IF($D38&lt;&gt;"Serviço","",OFFSET(ORÇAMENTO!S$15,ROW(G38)-ROW(G$15),0))</f>
        <v>-</v>
      </c>
      <c r="H38" s="151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1"/>
      <c r="K38" s="208"/>
      <c r="L38" s="209" t="s">
        <v>254</v>
      </c>
      <c r="M38" s="210">
        <f ca="1">IF($D38&lt;&gt;"Serviço","",IF(AUTOEVENTO="manual",$A38,IF(ISERROR(MATCH($A38,$A$15:OFFSET($A38,-1,0),0)),MAX($M$15:OFFSET(M38,-1,0))+1,INDEX($M$15:OFFSET(M38,-1,0),MATCH($A38,$A$15:OFFSET($A38,-1,0),0)))))</f>
        <v>3</v>
      </c>
      <c r="N38" s="211" t="str">
        <f ca="1">IF($D38&lt;&gt;"Serviço","",IF(AUTOEVENTO="Manual",IF($A38=0,"&lt;-- defina o número do agrupador",OFFSET(EVENTOS!$D$14,$A38,0)),OFFSET($F$15,$A38,0)))</f>
        <v>ESQUADRIAS</v>
      </c>
      <c r="O38" s="212"/>
      <c r="Q38" s="212"/>
      <c r="R38" s="213"/>
      <c r="S38" s="213"/>
      <c r="T38" s="213"/>
      <c r="U38" s="213"/>
      <c r="V38" s="213"/>
      <c r="W38" s="213"/>
      <c r="X38" s="213"/>
      <c r="Y38" s="213"/>
      <c r="Z38" s="214"/>
      <c r="AB38" s="592">
        <f ca="1">IF(AND($D38="Serviço",AB$12&lt;&gt;0,$H38&gt;0,OR(AUTOEVENTO&lt;&gt;"manual",$M38&lt;&gt;1)),ROUND(OFFSET($P38,0,AB$13),15-13*ORÇAMENTO!$AF$7)/$H38*OFFSET(ORÇAMENTO!$X$15,ROW(AB38)-ROW(AB$15),0),0)</f>
        <v>0</v>
      </c>
      <c r="AC38" s="593">
        <f ca="1">IF(AND($D38="Serviço",AC$12&lt;&gt;0,$H38&gt;0,OR(AUTOEVENTO&lt;&gt;"manual",$M38&lt;&gt;1)),ROUND(OFFSET($P38,0,AC$13),15-13*ORÇAMENTO!$AF$7)/$H38*OFFSET(ORÇAMENTO!$X$15,ROW(AC38)-ROW(AC$15),0),0)</f>
        <v>0</v>
      </c>
      <c r="AD38" s="593">
        <f ca="1">IF(AND($D38="Serviço",AD$12&lt;&gt;0,$H38&gt;0,OR(AUTOEVENTO&lt;&gt;"manual",$M38&lt;&gt;1)),ROUND(OFFSET($P38,0,AD$13),15-13*ORÇAMENTO!$AF$7)/$H38*OFFSET(ORÇAMENTO!$X$15,ROW(AD38)-ROW(AD$15),0),0)</f>
        <v>0</v>
      </c>
      <c r="AE38" s="593">
        <f ca="1">IF(AND($D38="Serviço",AE$12&lt;&gt;0,$H38&gt;0,OR(AUTOEVENTO&lt;&gt;"manual",$M38&lt;&gt;1)),ROUND(OFFSET($P38,0,AE$13),15-13*ORÇAMENTO!$AF$7)/$H38*OFFSET(ORÇAMENTO!$X$15,ROW(AE38)-ROW(AE$15),0),0)</f>
        <v>0</v>
      </c>
      <c r="AF38" s="593">
        <f ca="1">IF(AND($D38="Serviço",AF$12&lt;&gt;0,$H38&gt;0,OR(AUTOEVENTO&lt;&gt;"manual",$M38&lt;&gt;1)),ROUND(OFFSET($P38,0,AF$13),15-13*ORÇAMENTO!$AF$7)/$H38*OFFSET(ORÇAMENTO!$X$15,ROW(AF38)-ROW(AF$15),0),0)</f>
        <v>0</v>
      </c>
      <c r="AG38" s="593">
        <f ca="1">IF(AND($D38="Serviço",AG$12&lt;&gt;0,$H38&gt;0,OR(AUTOEVENTO&lt;&gt;"manual",$M38&lt;&gt;1)),ROUND(OFFSET($P38,0,AG$13),15-13*ORÇAMENTO!$AF$7)/$H38*OFFSET(ORÇAMENTO!$X$15,ROW(AG38)-ROW(AG$15),0),0)</f>
        <v>0</v>
      </c>
      <c r="AH38" s="593">
        <f ca="1">IF(AND($D38="Serviço",AH$12&lt;&gt;0,$H38&gt;0,OR(AUTOEVENTO&lt;&gt;"manual",$M38&lt;&gt;1)),ROUND(OFFSET($P38,0,AH$13),15-13*ORÇAMENTO!$AF$7)/$H38*OFFSET(ORÇAMENTO!$X$15,ROW(AH38)-ROW(AH$15),0),0)</f>
        <v>0</v>
      </c>
      <c r="AI38" s="593">
        <f ca="1">IF(AND($D38="Serviço",AI$12&lt;&gt;0,$H38&gt;0,OR(AUTOEVENTO&lt;&gt;"manual",$M38&lt;&gt;1)),ROUND(OFFSET($P38,0,AI$13),15-13*ORÇAMENTO!$AF$7)/$H38*OFFSET(ORÇAMENTO!$X$15,ROW(AI38)-ROW(AI$15),0),0)</f>
        <v>0</v>
      </c>
      <c r="AJ38" s="593">
        <f ca="1">IF(AND($D38="Serviço",AJ$12&lt;&gt;0,$H38&gt;0,OR(AUTOEVENTO&lt;&gt;"manual",$M38&lt;&gt;1)),ROUND(OFFSET($P38,0,AJ$13),15-13*ORÇAMENTO!$AF$7)/$H38*OFFSET(ORÇAMENTO!$X$15,ROW(AJ38)-ROW(AJ$15),0),0)</f>
        <v>0</v>
      </c>
      <c r="AK38" s="594">
        <f ca="1">IF(AND($D38="Serviço",AK$12&lt;&gt;0,$H38&gt;0,OR(AUTOEVENTO&lt;&gt;"manual",$M38&lt;&gt;1)),ROUND(OFFSET($P38,0,AK$13),15-13*ORÇAMENTO!$AF$7)/$H38*OFFSET(ORÇAMENTO!$X$15,ROW(AK38)-ROW(AK$15),0),0)</f>
        <v>0</v>
      </c>
      <c r="AM38" s="215">
        <f ca="1">IF($D38&lt;&gt;"Serviço",0,IF(AND(AUTOEVENTO="Manual",$M38=1),0,IF(OFFSET(CRONOPLE!$F$14,$M38,AM$13)="",10^12,OFFSET(CRONOPLE!$F$14,$M38,AM$13))))</f>
        <v>1</v>
      </c>
      <c r="AN38" s="215">
        <f ca="1">IF($D38&lt;&gt;"Serviço",0,IF(AND(AUTOEVENTO="Manual",$M38=1),0,IF(OFFSET(CRONOPLE!$F$14,$M38,AN$13)="",10^12,OFFSET(CRONOPLE!$F$14,$M38,AN$13))))</f>
        <v>2</v>
      </c>
      <c r="AO38" s="215">
        <f ca="1">IF($D38&lt;&gt;"Serviço",0,IF(AND(AUTOEVENTO="Manual",$M38=1),0,IF(OFFSET(CRONOPLE!$F$14,$M38,AO$13)="",10^12,OFFSET(CRONOPLE!$F$14,$M38,AO$13))))</f>
        <v>1000000000000</v>
      </c>
      <c r="AP38" s="215">
        <f ca="1">IF($D38&lt;&gt;"Serviço",0,IF(AND(AUTOEVENTO="Manual",$M38=1),0,IF(OFFSET(CRONOPLE!$F$14,$M38,AP$13)="",10^12,OFFSET(CRONOPLE!$F$14,$M38,AP$13))))</f>
        <v>1000000000000</v>
      </c>
      <c r="AQ38" s="215">
        <f ca="1">IF($D38&lt;&gt;"Serviço",0,IF(AND(AUTOEVENTO="Manual",$M38=1),0,IF(OFFSET(CRONOPLE!$F$14,$M38,AQ$13)="",10^12,OFFSET(CRONOPLE!$F$14,$M38,AQ$13))))</f>
        <v>1000000000000</v>
      </c>
      <c r="AR38" s="215">
        <f ca="1">IF($D38&lt;&gt;"Serviço",0,IF(AND(AUTOEVENTO="Manual",$M38=1),0,IF(OFFSET(CRONOPLE!$F$14,$M38,AR$13)="",10^12,OFFSET(CRONOPLE!$F$14,$M38,AR$13))))</f>
        <v>1000000000000</v>
      </c>
      <c r="AS38" s="215">
        <f ca="1">IF($D38&lt;&gt;"Serviço",0,IF(AND(AUTOEVENTO="Manual",$M38=1),0,IF(OFFSET(CRONOPLE!$F$14,$M38,AS$13)="",10^12,OFFSET(CRONOPLE!$F$14,$M38,AS$13))))</f>
        <v>1000000000000</v>
      </c>
      <c r="AT38" s="215">
        <f ca="1">IF($D38&lt;&gt;"Serviço",0,IF(AND(AUTOEVENTO="Manual",$M38=1),0,IF(OFFSET(CRONOPLE!$F$14,$M38,AT$13)="",10^12,OFFSET(CRONOPLE!$F$14,$M38,AT$13))))</f>
        <v>1000000000000</v>
      </c>
      <c r="AU38" s="215">
        <f ca="1">IF($D38&lt;&gt;"Serviço",0,IF(AND(AUTOEVENTO="Manual",$M38=1),0,IF(OFFSET(CRONOPLE!$F$14,$M38,AU$13)="",10^12,OFFSET(CRONOPLE!$F$14,$M38,AU$13))))</f>
        <v>1000000000000</v>
      </c>
      <c r="AV38" s="215">
        <f ca="1">IF($D38&lt;&gt;"Serviço",0,IF(AND(AUTOEVENTO="Manual",$M38=1),0,IF(OFFSET(CRONOPLE!$F$14,$M38,AV$13)="",10^12,OFFSET(CRONOPLE!$F$14,$M38,AV$13))))</f>
        <v>1000000000000</v>
      </c>
      <c r="AX38" s="216">
        <f ca="1">IF($D38&lt;&gt;"Serviço",0,IF(OR(AND(AUTOEVENTO="Manual",$M38=1),$M38&gt;(ROW(PLE.lastrow)-ROW(PLE.firstrow))),0,IF(OFFSET(PLE!$G$14,$M38,AX$13)="",10^12,OFFSET(PLE!$G$14,$M38,AX$13))))</f>
        <v>1000000000000</v>
      </c>
      <c r="AY38" s="216">
        <f ca="1">IF($D38&lt;&gt;"Serviço",0,IF(OR(AND(AUTOEVENTO="Manual",$M38=1),$M38&gt;(ROW(PLE.lastrow)-ROW(PLE.firstrow))),0,IF(OFFSET(PLE!$G$14,$M38,AY$13)="",10^12,OFFSET(PLE!$G$14,$M38,AY$13))))</f>
        <v>1000000000000</v>
      </c>
      <c r="AZ38" s="216">
        <f ca="1">IF($D38&lt;&gt;"Serviço",0,IF(OR(AND(AUTOEVENTO="Manual",$M38=1),$M38&gt;(ROW(PLE.lastrow)-ROW(PLE.firstrow))),0,IF(OFFSET(PLE!$G$14,$M38,AZ$13)="",10^12,OFFSET(PLE!$G$14,$M38,AZ$13))))</f>
        <v>1000000000000</v>
      </c>
      <c r="BA38" s="216">
        <f ca="1">IF($D38&lt;&gt;"Serviço",0,IF(OR(AND(AUTOEVENTO="Manual",$M38=1),$M38&gt;(ROW(PLE.lastrow)-ROW(PLE.firstrow))),0,IF(OFFSET(PLE!$G$14,$M38,BA$13)="",10^12,OFFSET(PLE!$G$14,$M38,BA$13))))</f>
        <v>1000000000000</v>
      </c>
      <c r="BB38" s="216">
        <f ca="1">IF($D38&lt;&gt;"Serviço",0,IF(OR(AND(AUTOEVENTO="Manual",$M38=1),$M38&gt;(ROW(PLE.lastrow)-ROW(PLE.firstrow))),0,IF(OFFSET(PLE!$G$14,$M38,BB$13)="",10^12,OFFSET(PLE!$G$14,$M38,BB$13))))</f>
        <v>1000000000000</v>
      </c>
      <c r="BC38" s="216">
        <f ca="1">IF($D38&lt;&gt;"Serviço",0,IF(OR(AND(AUTOEVENTO="Manual",$M38=1),$M38&gt;(ROW(PLE.lastrow)-ROW(PLE.firstrow))),0,IF(OFFSET(PLE!$G$14,$M38,BC$13)="",10^12,OFFSET(PLE!$G$14,$M38,BC$13))))</f>
        <v>1000000000000</v>
      </c>
      <c r="BD38" s="216">
        <f ca="1">IF($D38&lt;&gt;"Serviço",0,IF(OR(AND(AUTOEVENTO="Manual",$M38=1),$M38&gt;(ROW(PLE.lastrow)-ROW(PLE.firstrow))),0,IF(OFFSET(PLE!$G$14,$M38,BD$13)="",10^12,OFFSET(PLE!$G$14,$M38,BD$13))))</f>
        <v>1000000000000</v>
      </c>
      <c r="BE38" s="216">
        <f ca="1">IF($D38&lt;&gt;"Serviço",0,IF(OR(AND(AUTOEVENTO="Manual",$M38=1),$M38&gt;(ROW(PLE.lastrow)-ROW(PLE.firstrow))),0,IF(OFFSET(PLE!$G$14,$M38,BE$13)="",10^12,OFFSET(PLE!$G$14,$M38,BE$13))))</f>
        <v>1000000000000</v>
      </c>
      <c r="BF38" s="216">
        <f ca="1">IF($D38&lt;&gt;"Serviço",0,IF(OR(AND(AUTOEVENTO="Manual",$M38=1),$M38&gt;(ROW(PLE.lastrow)-ROW(PLE.firstrow))),0,IF(OFFSET(PLE!$G$14,$M38,BF$13)="",10^12,OFFSET(PLE!$G$14,$M38,BF$13))))</f>
        <v>1000000000000</v>
      </c>
      <c r="BG38" s="216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19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5" t="str">
        <f ca="1">OFFSET(ORÇAMENTO!N$15,ROW(D39)-ROW(D$15),0)</f>
        <v>Serviço</v>
      </c>
      <c r="E39" s="205" t="str">
        <f ca="1">OFFSET(ORÇAMENTO!O$15,ROW(E39)-ROW(E$15),0)</f>
        <v>-</v>
      </c>
      <c r="F39" s="206" t="str">
        <f ca="1">OFFSET(ORÇAMENTO!R$15,ROW(F39)-ROW(F$15),0)</f>
        <v>(abra o arquivo 'Referência 05-2023.xls)</v>
      </c>
      <c r="G39" s="207" t="str">
        <f ca="1">IF($D39&lt;&gt;"Serviço","",OFFSET(ORÇAMENTO!S$15,ROW(G39)-ROW(G$15),0))</f>
        <v>-</v>
      </c>
      <c r="H39" s="151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1"/>
      <c r="K39" s="208"/>
      <c r="L39" s="209" t="s">
        <v>254</v>
      </c>
      <c r="M39" s="210">
        <f ca="1">IF($D39&lt;&gt;"Serviço","",IF(AUTOEVENTO="manual",$A39,IF(ISERROR(MATCH($A39,$A$15:OFFSET($A39,-1,0),0)),MAX($M$15:OFFSET(M39,-1,0))+1,INDEX($M$15:OFFSET(M39,-1,0),MATCH($A39,$A$15:OFFSET($A39,-1,0),0)))))</f>
        <v>3</v>
      </c>
      <c r="N39" s="211" t="str">
        <f ca="1">IF($D39&lt;&gt;"Serviço","",IF(AUTOEVENTO="Manual",IF($A39=0,"&lt;-- defina o número do agrupador",OFFSET(EVENTOS!$D$14,$A39,0)),OFFSET($F$15,$A39,0)))</f>
        <v>ESQUADRIAS</v>
      </c>
      <c r="O39" s="212"/>
      <c r="Q39" s="212"/>
      <c r="R39" s="213"/>
      <c r="S39" s="213"/>
      <c r="T39" s="213"/>
      <c r="U39" s="213"/>
      <c r="V39" s="213"/>
      <c r="W39" s="213"/>
      <c r="X39" s="213"/>
      <c r="Y39" s="213"/>
      <c r="Z39" s="214"/>
      <c r="AB39" s="592">
        <f ca="1">IF(AND($D39="Serviço",AB$12&lt;&gt;0,$H39&gt;0,OR(AUTOEVENTO&lt;&gt;"manual",$M39&lt;&gt;1)),ROUND(OFFSET($P39,0,AB$13),15-13*ORÇAMENTO!$AF$7)/$H39*OFFSET(ORÇAMENTO!$X$15,ROW(AB39)-ROW(AB$15),0),0)</f>
        <v>0</v>
      </c>
      <c r="AC39" s="593">
        <f ca="1">IF(AND($D39="Serviço",AC$12&lt;&gt;0,$H39&gt;0,OR(AUTOEVENTO&lt;&gt;"manual",$M39&lt;&gt;1)),ROUND(OFFSET($P39,0,AC$13),15-13*ORÇAMENTO!$AF$7)/$H39*OFFSET(ORÇAMENTO!$X$15,ROW(AC39)-ROW(AC$15),0),0)</f>
        <v>0</v>
      </c>
      <c r="AD39" s="593">
        <f ca="1">IF(AND($D39="Serviço",AD$12&lt;&gt;0,$H39&gt;0,OR(AUTOEVENTO&lt;&gt;"manual",$M39&lt;&gt;1)),ROUND(OFFSET($P39,0,AD$13),15-13*ORÇAMENTO!$AF$7)/$H39*OFFSET(ORÇAMENTO!$X$15,ROW(AD39)-ROW(AD$15),0),0)</f>
        <v>0</v>
      </c>
      <c r="AE39" s="593">
        <f ca="1">IF(AND($D39="Serviço",AE$12&lt;&gt;0,$H39&gt;0,OR(AUTOEVENTO&lt;&gt;"manual",$M39&lt;&gt;1)),ROUND(OFFSET($P39,0,AE$13),15-13*ORÇAMENTO!$AF$7)/$H39*OFFSET(ORÇAMENTO!$X$15,ROW(AE39)-ROW(AE$15),0),0)</f>
        <v>0</v>
      </c>
      <c r="AF39" s="593">
        <f ca="1">IF(AND($D39="Serviço",AF$12&lt;&gt;0,$H39&gt;0,OR(AUTOEVENTO&lt;&gt;"manual",$M39&lt;&gt;1)),ROUND(OFFSET($P39,0,AF$13),15-13*ORÇAMENTO!$AF$7)/$H39*OFFSET(ORÇAMENTO!$X$15,ROW(AF39)-ROW(AF$15),0),0)</f>
        <v>0</v>
      </c>
      <c r="AG39" s="593">
        <f ca="1">IF(AND($D39="Serviço",AG$12&lt;&gt;0,$H39&gt;0,OR(AUTOEVENTO&lt;&gt;"manual",$M39&lt;&gt;1)),ROUND(OFFSET($P39,0,AG$13),15-13*ORÇAMENTO!$AF$7)/$H39*OFFSET(ORÇAMENTO!$X$15,ROW(AG39)-ROW(AG$15),0),0)</f>
        <v>0</v>
      </c>
      <c r="AH39" s="593">
        <f ca="1">IF(AND($D39="Serviço",AH$12&lt;&gt;0,$H39&gt;0,OR(AUTOEVENTO&lt;&gt;"manual",$M39&lt;&gt;1)),ROUND(OFFSET($P39,0,AH$13),15-13*ORÇAMENTO!$AF$7)/$H39*OFFSET(ORÇAMENTO!$X$15,ROW(AH39)-ROW(AH$15),0),0)</f>
        <v>0</v>
      </c>
      <c r="AI39" s="593">
        <f ca="1">IF(AND($D39="Serviço",AI$12&lt;&gt;0,$H39&gt;0,OR(AUTOEVENTO&lt;&gt;"manual",$M39&lt;&gt;1)),ROUND(OFFSET($P39,0,AI$13),15-13*ORÇAMENTO!$AF$7)/$H39*OFFSET(ORÇAMENTO!$X$15,ROW(AI39)-ROW(AI$15),0),0)</f>
        <v>0</v>
      </c>
      <c r="AJ39" s="593">
        <f ca="1">IF(AND($D39="Serviço",AJ$12&lt;&gt;0,$H39&gt;0,OR(AUTOEVENTO&lt;&gt;"manual",$M39&lt;&gt;1)),ROUND(OFFSET($P39,0,AJ$13),15-13*ORÇAMENTO!$AF$7)/$H39*OFFSET(ORÇAMENTO!$X$15,ROW(AJ39)-ROW(AJ$15),0),0)</f>
        <v>0</v>
      </c>
      <c r="AK39" s="594">
        <f ca="1">IF(AND($D39="Serviço",AK$12&lt;&gt;0,$H39&gt;0,OR(AUTOEVENTO&lt;&gt;"manual",$M39&lt;&gt;1)),ROUND(OFFSET($P39,0,AK$13),15-13*ORÇAMENTO!$AF$7)/$H39*OFFSET(ORÇAMENTO!$X$15,ROW(AK39)-ROW(AK$15),0),0)</f>
        <v>0</v>
      </c>
      <c r="AM39" s="215">
        <f ca="1">IF($D39&lt;&gt;"Serviço",0,IF(AND(AUTOEVENTO="Manual",$M39=1),0,IF(OFFSET(CRONOPLE!$F$14,$M39,AM$13)="",10^12,OFFSET(CRONOPLE!$F$14,$M39,AM$13))))</f>
        <v>1</v>
      </c>
      <c r="AN39" s="215">
        <f ca="1">IF($D39&lt;&gt;"Serviço",0,IF(AND(AUTOEVENTO="Manual",$M39=1),0,IF(OFFSET(CRONOPLE!$F$14,$M39,AN$13)="",10^12,OFFSET(CRONOPLE!$F$14,$M39,AN$13))))</f>
        <v>2</v>
      </c>
      <c r="AO39" s="215">
        <f ca="1">IF($D39&lt;&gt;"Serviço",0,IF(AND(AUTOEVENTO="Manual",$M39=1),0,IF(OFFSET(CRONOPLE!$F$14,$M39,AO$13)="",10^12,OFFSET(CRONOPLE!$F$14,$M39,AO$13))))</f>
        <v>1000000000000</v>
      </c>
      <c r="AP39" s="215">
        <f ca="1">IF($D39&lt;&gt;"Serviço",0,IF(AND(AUTOEVENTO="Manual",$M39=1),0,IF(OFFSET(CRONOPLE!$F$14,$M39,AP$13)="",10^12,OFFSET(CRONOPLE!$F$14,$M39,AP$13))))</f>
        <v>1000000000000</v>
      </c>
      <c r="AQ39" s="215">
        <f ca="1">IF($D39&lt;&gt;"Serviço",0,IF(AND(AUTOEVENTO="Manual",$M39=1),0,IF(OFFSET(CRONOPLE!$F$14,$M39,AQ$13)="",10^12,OFFSET(CRONOPLE!$F$14,$M39,AQ$13))))</f>
        <v>1000000000000</v>
      </c>
      <c r="AR39" s="215">
        <f ca="1">IF($D39&lt;&gt;"Serviço",0,IF(AND(AUTOEVENTO="Manual",$M39=1),0,IF(OFFSET(CRONOPLE!$F$14,$M39,AR$13)="",10^12,OFFSET(CRONOPLE!$F$14,$M39,AR$13))))</f>
        <v>1000000000000</v>
      </c>
      <c r="AS39" s="215">
        <f ca="1">IF($D39&lt;&gt;"Serviço",0,IF(AND(AUTOEVENTO="Manual",$M39=1),0,IF(OFFSET(CRONOPLE!$F$14,$M39,AS$13)="",10^12,OFFSET(CRONOPLE!$F$14,$M39,AS$13))))</f>
        <v>1000000000000</v>
      </c>
      <c r="AT39" s="215">
        <f ca="1">IF($D39&lt;&gt;"Serviço",0,IF(AND(AUTOEVENTO="Manual",$M39=1),0,IF(OFFSET(CRONOPLE!$F$14,$M39,AT$13)="",10^12,OFFSET(CRONOPLE!$F$14,$M39,AT$13))))</f>
        <v>1000000000000</v>
      </c>
      <c r="AU39" s="215">
        <f ca="1">IF($D39&lt;&gt;"Serviço",0,IF(AND(AUTOEVENTO="Manual",$M39=1),0,IF(OFFSET(CRONOPLE!$F$14,$M39,AU$13)="",10^12,OFFSET(CRONOPLE!$F$14,$M39,AU$13))))</f>
        <v>1000000000000</v>
      </c>
      <c r="AV39" s="215">
        <f ca="1">IF($D39&lt;&gt;"Serviço",0,IF(AND(AUTOEVENTO="Manual",$M39=1),0,IF(OFFSET(CRONOPLE!$F$14,$M39,AV$13)="",10^12,OFFSET(CRONOPLE!$F$14,$M39,AV$13))))</f>
        <v>1000000000000</v>
      </c>
      <c r="AX39" s="216">
        <f ca="1">IF($D39&lt;&gt;"Serviço",0,IF(OR(AND(AUTOEVENTO="Manual",$M39=1),$M39&gt;(ROW(PLE.lastrow)-ROW(PLE.firstrow))),0,IF(OFFSET(PLE!$G$14,$M39,AX$13)="",10^12,OFFSET(PLE!$G$14,$M39,AX$13))))</f>
        <v>1000000000000</v>
      </c>
      <c r="AY39" s="216">
        <f ca="1">IF($D39&lt;&gt;"Serviço",0,IF(OR(AND(AUTOEVENTO="Manual",$M39=1),$M39&gt;(ROW(PLE.lastrow)-ROW(PLE.firstrow))),0,IF(OFFSET(PLE!$G$14,$M39,AY$13)="",10^12,OFFSET(PLE!$G$14,$M39,AY$13))))</f>
        <v>1000000000000</v>
      </c>
      <c r="AZ39" s="216">
        <f ca="1">IF($D39&lt;&gt;"Serviço",0,IF(OR(AND(AUTOEVENTO="Manual",$M39=1),$M39&gt;(ROW(PLE.lastrow)-ROW(PLE.firstrow))),0,IF(OFFSET(PLE!$G$14,$M39,AZ$13)="",10^12,OFFSET(PLE!$G$14,$M39,AZ$13))))</f>
        <v>1000000000000</v>
      </c>
      <c r="BA39" s="216">
        <f ca="1">IF($D39&lt;&gt;"Serviço",0,IF(OR(AND(AUTOEVENTO="Manual",$M39=1),$M39&gt;(ROW(PLE.lastrow)-ROW(PLE.firstrow))),0,IF(OFFSET(PLE!$G$14,$M39,BA$13)="",10^12,OFFSET(PLE!$G$14,$M39,BA$13))))</f>
        <v>1000000000000</v>
      </c>
      <c r="BB39" s="216">
        <f ca="1">IF($D39&lt;&gt;"Serviço",0,IF(OR(AND(AUTOEVENTO="Manual",$M39=1),$M39&gt;(ROW(PLE.lastrow)-ROW(PLE.firstrow))),0,IF(OFFSET(PLE!$G$14,$M39,BB$13)="",10^12,OFFSET(PLE!$G$14,$M39,BB$13))))</f>
        <v>1000000000000</v>
      </c>
      <c r="BC39" s="216">
        <f ca="1">IF($D39&lt;&gt;"Serviço",0,IF(OR(AND(AUTOEVENTO="Manual",$M39=1),$M39&gt;(ROW(PLE.lastrow)-ROW(PLE.firstrow))),0,IF(OFFSET(PLE!$G$14,$M39,BC$13)="",10^12,OFFSET(PLE!$G$14,$M39,BC$13))))</f>
        <v>1000000000000</v>
      </c>
      <c r="BD39" s="216">
        <f ca="1">IF($D39&lt;&gt;"Serviço",0,IF(OR(AND(AUTOEVENTO="Manual",$M39=1),$M39&gt;(ROW(PLE.lastrow)-ROW(PLE.firstrow))),0,IF(OFFSET(PLE!$G$14,$M39,BD$13)="",10^12,OFFSET(PLE!$G$14,$M39,BD$13))))</f>
        <v>1000000000000</v>
      </c>
      <c r="BE39" s="216">
        <f ca="1">IF($D39&lt;&gt;"Serviço",0,IF(OR(AND(AUTOEVENTO="Manual",$M39=1),$M39&gt;(ROW(PLE.lastrow)-ROW(PLE.firstrow))),0,IF(OFFSET(PLE!$G$14,$M39,BE$13)="",10^12,OFFSET(PLE!$G$14,$M39,BE$13))))</f>
        <v>1000000000000</v>
      </c>
      <c r="BF39" s="216">
        <f ca="1">IF($D39&lt;&gt;"Serviço",0,IF(OR(AND(AUTOEVENTO="Manual",$M39=1),$M39&gt;(ROW(PLE.lastrow)-ROW(PLE.firstrow))),0,IF(OFFSET(PLE!$G$14,$M39,BF$13)="",10^12,OFFSET(PLE!$G$14,$M39,BF$13))))</f>
        <v>1000000000000</v>
      </c>
      <c r="BG39" s="216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19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5" t="str">
        <f ca="1">OFFSET(ORÇAMENTO!N$15,ROW(D40)-ROW(D$15),0)</f>
        <v>Serviço</v>
      </c>
      <c r="E40" s="205" t="str">
        <f ca="1">OFFSET(ORÇAMENTO!O$15,ROW(E40)-ROW(E$15),0)</f>
        <v>-</v>
      </c>
      <c r="F40" s="206" t="str">
        <f ca="1">OFFSET(ORÇAMENTO!R$15,ROW(F40)-ROW(F$15),0)</f>
        <v>(abra o arquivo 'Referência 05-2023.xls)</v>
      </c>
      <c r="G40" s="207" t="str">
        <f ca="1">IF($D40&lt;&gt;"Serviço","",OFFSET(ORÇAMENTO!S$15,ROW(G40)-ROW(G$15),0))</f>
        <v>-</v>
      </c>
      <c r="H40" s="151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1"/>
      <c r="K40" s="208"/>
      <c r="L40" s="209" t="s">
        <v>254</v>
      </c>
      <c r="M40" s="210">
        <f ca="1">IF($D40&lt;&gt;"Serviço","",IF(AUTOEVENTO="manual",$A40,IF(ISERROR(MATCH($A40,$A$15:OFFSET($A40,-1,0),0)),MAX($M$15:OFFSET(M40,-1,0))+1,INDEX($M$15:OFFSET(M40,-1,0),MATCH($A40,$A$15:OFFSET($A40,-1,0),0)))))</f>
        <v>3</v>
      </c>
      <c r="N40" s="211" t="str">
        <f ca="1">IF($D40&lt;&gt;"Serviço","",IF(AUTOEVENTO="Manual",IF($A40=0,"&lt;-- defina o número do agrupador",OFFSET(EVENTOS!$D$14,$A40,0)),OFFSET($F$15,$A40,0)))</f>
        <v>ESQUADRIAS</v>
      </c>
      <c r="O40" s="212"/>
      <c r="Q40" s="212"/>
      <c r="R40" s="213"/>
      <c r="S40" s="213"/>
      <c r="T40" s="213"/>
      <c r="U40" s="213"/>
      <c r="V40" s="213"/>
      <c r="W40" s="213"/>
      <c r="X40" s="213"/>
      <c r="Y40" s="213"/>
      <c r="Z40" s="214"/>
      <c r="AB40" s="592">
        <f ca="1">IF(AND($D40="Serviço",AB$12&lt;&gt;0,$H40&gt;0,OR(AUTOEVENTO&lt;&gt;"manual",$M40&lt;&gt;1)),ROUND(OFFSET($P40,0,AB$13),15-13*ORÇAMENTO!$AF$7)/$H40*OFFSET(ORÇAMENTO!$X$15,ROW(AB40)-ROW(AB$15),0),0)</f>
        <v>0</v>
      </c>
      <c r="AC40" s="593">
        <f ca="1">IF(AND($D40="Serviço",AC$12&lt;&gt;0,$H40&gt;0,OR(AUTOEVENTO&lt;&gt;"manual",$M40&lt;&gt;1)),ROUND(OFFSET($P40,0,AC$13),15-13*ORÇAMENTO!$AF$7)/$H40*OFFSET(ORÇAMENTO!$X$15,ROW(AC40)-ROW(AC$15),0),0)</f>
        <v>0</v>
      </c>
      <c r="AD40" s="593">
        <f ca="1">IF(AND($D40="Serviço",AD$12&lt;&gt;0,$H40&gt;0,OR(AUTOEVENTO&lt;&gt;"manual",$M40&lt;&gt;1)),ROUND(OFFSET($P40,0,AD$13),15-13*ORÇAMENTO!$AF$7)/$H40*OFFSET(ORÇAMENTO!$X$15,ROW(AD40)-ROW(AD$15),0),0)</f>
        <v>0</v>
      </c>
      <c r="AE40" s="593">
        <f ca="1">IF(AND($D40="Serviço",AE$12&lt;&gt;0,$H40&gt;0,OR(AUTOEVENTO&lt;&gt;"manual",$M40&lt;&gt;1)),ROUND(OFFSET($P40,0,AE$13),15-13*ORÇAMENTO!$AF$7)/$H40*OFFSET(ORÇAMENTO!$X$15,ROW(AE40)-ROW(AE$15),0),0)</f>
        <v>0</v>
      </c>
      <c r="AF40" s="593">
        <f ca="1">IF(AND($D40="Serviço",AF$12&lt;&gt;0,$H40&gt;0,OR(AUTOEVENTO&lt;&gt;"manual",$M40&lt;&gt;1)),ROUND(OFFSET($P40,0,AF$13),15-13*ORÇAMENTO!$AF$7)/$H40*OFFSET(ORÇAMENTO!$X$15,ROW(AF40)-ROW(AF$15),0),0)</f>
        <v>0</v>
      </c>
      <c r="AG40" s="593">
        <f ca="1">IF(AND($D40="Serviço",AG$12&lt;&gt;0,$H40&gt;0,OR(AUTOEVENTO&lt;&gt;"manual",$M40&lt;&gt;1)),ROUND(OFFSET($P40,0,AG$13),15-13*ORÇAMENTO!$AF$7)/$H40*OFFSET(ORÇAMENTO!$X$15,ROW(AG40)-ROW(AG$15),0),0)</f>
        <v>0</v>
      </c>
      <c r="AH40" s="593">
        <f ca="1">IF(AND($D40="Serviço",AH$12&lt;&gt;0,$H40&gt;0,OR(AUTOEVENTO&lt;&gt;"manual",$M40&lt;&gt;1)),ROUND(OFFSET($P40,0,AH$13),15-13*ORÇAMENTO!$AF$7)/$H40*OFFSET(ORÇAMENTO!$X$15,ROW(AH40)-ROW(AH$15),0),0)</f>
        <v>0</v>
      </c>
      <c r="AI40" s="593">
        <f ca="1">IF(AND($D40="Serviço",AI$12&lt;&gt;0,$H40&gt;0,OR(AUTOEVENTO&lt;&gt;"manual",$M40&lt;&gt;1)),ROUND(OFFSET($P40,0,AI$13),15-13*ORÇAMENTO!$AF$7)/$H40*OFFSET(ORÇAMENTO!$X$15,ROW(AI40)-ROW(AI$15),0),0)</f>
        <v>0</v>
      </c>
      <c r="AJ40" s="593">
        <f ca="1">IF(AND($D40="Serviço",AJ$12&lt;&gt;0,$H40&gt;0,OR(AUTOEVENTO&lt;&gt;"manual",$M40&lt;&gt;1)),ROUND(OFFSET($P40,0,AJ$13),15-13*ORÇAMENTO!$AF$7)/$H40*OFFSET(ORÇAMENTO!$X$15,ROW(AJ40)-ROW(AJ$15),0),0)</f>
        <v>0</v>
      </c>
      <c r="AK40" s="594">
        <f ca="1">IF(AND($D40="Serviço",AK$12&lt;&gt;0,$H40&gt;0,OR(AUTOEVENTO&lt;&gt;"manual",$M40&lt;&gt;1)),ROUND(OFFSET($P40,0,AK$13),15-13*ORÇAMENTO!$AF$7)/$H40*OFFSET(ORÇAMENTO!$X$15,ROW(AK40)-ROW(AK$15),0),0)</f>
        <v>0</v>
      </c>
      <c r="AM40" s="215">
        <f ca="1">IF($D40&lt;&gt;"Serviço",0,IF(AND(AUTOEVENTO="Manual",$M40=1),0,IF(OFFSET(CRONOPLE!$F$14,$M40,AM$13)="",10^12,OFFSET(CRONOPLE!$F$14,$M40,AM$13))))</f>
        <v>1</v>
      </c>
      <c r="AN40" s="215">
        <f ca="1">IF($D40&lt;&gt;"Serviço",0,IF(AND(AUTOEVENTO="Manual",$M40=1),0,IF(OFFSET(CRONOPLE!$F$14,$M40,AN$13)="",10^12,OFFSET(CRONOPLE!$F$14,$M40,AN$13))))</f>
        <v>2</v>
      </c>
      <c r="AO40" s="215">
        <f ca="1">IF($D40&lt;&gt;"Serviço",0,IF(AND(AUTOEVENTO="Manual",$M40=1),0,IF(OFFSET(CRONOPLE!$F$14,$M40,AO$13)="",10^12,OFFSET(CRONOPLE!$F$14,$M40,AO$13))))</f>
        <v>1000000000000</v>
      </c>
      <c r="AP40" s="215">
        <f ca="1">IF($D40&lt;&gt;"Serviço",0,IF(AND(AUTOEVENTO="Manual",$M40=1),0,IF(OFFSET(CRONOPLE!$F$14,$M40,AP$13)="",10^12,OFFSET(CRONOPLE!$F$14,$M40,AP$13))))</f>
        <v>1000000000000</v>
      </c>
      <c r="AQ40" s="215">
        <f ca="1">IF($D40&lt;&gt;"Serviço",0,IF(AND(AUTOEVENTO="Manual",$M40=1),0,IF(OFFSET(CRONOPLE!$F$14,$M40,AQ$13)="",10^12,OFFSET(CRONOPLE!$F$14,$M40,AQ$13))))</f>
        <v>1000000000000</v>
      </c>
      <c r="AR40" s="215">
        <f ca="1">IF($D40&lt;&gt;"Serviço",0,IF(AND(AUTOEVENTO="Manual",$M40=1),0,IF(OFFSET(CRONOPLE!$F$14,$M40,AR$13)="",10^12,OFFSET(CRONOPLE!$F$14,$M40,AR$13))))</f>
        <v>1000000000000</v>
      </c>
      <c r="AS40" s="215">
        <f ca="1">IF($D40&lt;&gt;"Serviço",0,IF(AND(AUTOEVENTO="Manual",$M40=1),0,IF(OFFSET(CRONOPLE!$F$14,$M40,AS$13)="",10^12,OFFSET(CRONOPLE!$F$14,$M40,AS$13))))</f>
        <v>1000000000000</v>
      </c>
      <c r="AT40" s="215">
        <f ca="1">IF($D40&lt;&gt;"Serviço",0,IF(AND(AUTOEVENTO="Manual",$M40=1),0,IF(OFFSET(CRONOPLE!$F$14,$M40,AT$13)="",10^12,OFFSET(CRONOPLE!$F$14,$M40,AT$13))))</f>
        <v>1000000000000</v>
      </c>
      <c r="AU40" s="215">
        <f ca="1">IF($D40&lt;&gt;"Serviço",0,IF(AND(AUTOEVENTO="Manual",$M40=1),0,IF(OFFSET(CRONOPLE!$F$14,$M40,AU$13)="",10^12,OFFSET(CRONOPLE!$F$14,$M40,AU$13))))</f>
        <v>1000000000000</v>
      </c>
      <c r="AV40" s="215">
        <f ca="1">IF($D40&lt;&gt;"Serviço",0,IF(AND(AUTOEVENTO="Manual",$M40=1),0,IF(OFFSET(CRONOPLE!$F$14,$M40,AV$13)="",10^12,OFFSET(CRONOPLE!$F$14,$M40,AV$13))))</f>
        <v>1000000000000</v>
      </c>
      <c r="AX40" s="216">
        <f ca="1">IF($D40&lt;&gt;"Serviço",0,IF(OR(AND(AUTOEVENTO="Manual",$M40=1),$M40&gt;(ROW(PLE.lastrow)-ROW(PLE.firstrow))),0,IF(OFFSET(PLE!$G$14,$M40,AX$13)="",10^12,OFFSET(PLE!$G$14,$M40,AX$13))))</f>
        <v>1000000000000</v>
      </c>
      <c r="AY40" s="216">
        <f ca="1">IF($D40&lt;&gt;"Serviço",0,IF(OR(AND(AUTOEVENTO="Manual",$M40=1),$M40&gt;(ROW(PLE.lastrow)-ROW(PLE.firstrow))),0,IF(OFFSET(PLE!$G$14,$M40,AY$13)="",10^12,OFFSET(PLE!$G$14,$M40,AY$13))))</f>
        <v>1000000000000</v>
      </c>
      <c r="AZ40" s="216">
        <f ca="1">IF($D40&lt;&gt;"Serviço",0,IF(OR(AND(AUTOEVENTO="Manual",$M40=1),$M40&gt;(ROW(PLE.lastrow)-ROW(PLE.firstrow))),0,IF(OFFSET(PLE!$G$14,$M40,AZ$13)="",10^12,OFFSET(PLE!$G$14,$M40,AZ$13))))</f>
        <v>1000000000000</v>
      </c>
      <c r="BA40" s="216">
        <f ca="1">IF($D40&lt;&gt;"Serviço",0,IF(OR(AND(AUTOEVENTO="Manual",$M40=1),$M40&gt;(ROW(PLE.lastrow)-ROW(PLE.firstrow))),0,IF(OFFSET(PLE!$G$14,$M40,BA$13)="",10^12,OFFSET(PLE!$G$14,$M40,BA$13))))</f>
        <v>1000000000000</v>
      </c>
      <c r="BB40" s="216">
        <f ca="1">IF($D40&lt;&gt;"Serviço",0,IF(OR(AND(AUTOEVENTO="Manual",$M40=1),$M40&gt;(ROW(PLE.lastrow)-ROW(PLE.firstrow))),0,IF(OFFSET(PLE!$G$14,$M40,BB$13)="",10^12,OFFSET(PLE!$G$14,$M40,BB$13))))</f>
        <v>1000000000000</v>
      </c>
      <c r="BC40" s="216">
        <f ca="1">IF($D40&lt;&gt;"Serviço",0,IF(OR(AND(AUTOEVENTO="Manual",$M40=1),$M40&gt;(ROW(PLE.lastrow)-ROW(PLE.firstrow))),0,IF(OFFSET(PLE!$G$14,$M40,BC$13)="",10^12,OFFSET(PLE!$G$14,$M40,BC$13))))</f>
        <v>1000000000000</v>
      </c>
      <c r="BD40" s="216">
        <f ca="1">IF($D40&lt;&gt;"Serviço",0,IF(OR(AND(AUTOEVENTO="Manual",$M40=1),$M40&gt;(ROW(PLE.lastrow)-ROW(PLE.firstrow))),0,IF(OFFSET(PLE!$G$14,$M40,BD$13)="",10^12,OFFSET(PLE!$G$14,$M40,BD$13))))</f>
        <v>1000000000000</v>
      </c>
      <c r="BE40" s="216">
        <f ca="1">IF($D40&lt;&gt;"Serviço",0,IF(OR(AND(AUTOEVENTO="Manual",$M40=1),$M40&gt;(ROW(PLE.lastrow)-ROW(PLE.firstrow))),0,IF(OFFSET(PLE!$G$14,$M40,BE$13)="",10^12,OFFSET(PLE!$G$14,$M40,BE$13))))</f>
        <v>1000000000000</v>
      </c>
      <c r="BF40" s="216">
        <f ca="1">IF($D40&lt;&gt;"Serviço",0,IF(OR(AND(AUTOEVENTO="Manual",$M40=1),$M40&gt;(ROW(PLE.lastrow)-ROW(PLE.firstrow))),0,IF(OFFSET(PLE!$G$14,$M40,BF$13)="",10^12,OFFSET(PLE!$G$14,$M40,BF$13))))</f>
        <v>1000000000000</v>
      </c>
      <c r="BG40" s="216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19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5" t="str">
        <f ca="1">OFFSET(ORÇAMENTO!N$15,ROW(D41)-ROW(D$15),0)</f>
        <v>Serviço</v>
      </c>
      <c r="E41" s="205" t="str">
        <f ca="1">OFFSET(ORÇAMENTO!O$15,ROW(E41)-ROW(E$15),0)</f>
        <v>-</v>
      </c>
      <c r="F41" s="206" t="str">
        <f ca="1">OFFSET(ORÇAMENTO!R$15,ROW(F41)-ROW(F$15),0)</f>
        <v>(abra o arquivo 'Referência 05-2023.xls)</v>
      </c>
      <c r="G41" s="207" t="str">
        <f ca="1">IF($D41&lt;&gt;"Serviço","",OFFSET(ORÇAMENTO!S$15,ROW(G41)-ROW(G$15),0))</f>
        <v>-</v>
      </c>
      <c r="H41" s="151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1"/>
      <c r="K41" s="208"/>
      <c r="L41" s="209" t="s">
        <v>254</v>
      </c>
      <c r="M41" s="210">
        <f ca="1">IF($D41&lt;&gt;"Serviço","",IF(AUTOEVENTO="manual",$A41,IF(ISERROR(MATCH($A41,$A$15:OFFSET($A41,-1,0),0)),MAX($M$15:OFFSET(M41,-1,0))+1,INDEX($M$15:OFFSET(M41,-1,0),MATCH($A41,$A$15:OFFSET($A41,-1,0),0)))))</f>
        <v>3</v>
      </c>
      <c r="N41" s="211" t="str">
        <f ca="1">IF($D41&lt;&gt;"Serviço","",IF(AUTOEVENTO="Manual",IF($A41=0,"&lt;-- defina o número do agrupador",OFFSET(EVENTOS!$D$14,$A41,0)),OFFSET($F$15,$A41,0)))</f>
        <v>ESQUADRIAS</v>
      </c>
      <c r="O41" s="212"/>
      <c r="Q41" s="212"/>
      <c r="R41" s="213"/>
      <c r="S41" s="213"/>
      <c r="T41" s="213"/>
      <c r="U41" s="213"/>
      <c r="V41" s="213"/>
      <c r="W41" s="213"/>
      <c r="X41" s="213"/>
      <c r="Y41" s="213"/>
      <c r="Z41" s="214"/>
      <c r="AB41" s="592">
        <f ca="1">IF(AND($D41="Serviço",AB$12&lt;&gt;0,$H41&gt;0,OR(AUTOEVENTO&lt;&gt;"manual",$M41&lt;&gt;1)),ROUND(OFFSET($P41,0,AB$13),15-13*ORÇAMENTO!$AF$7)/$H41*OFFSET(ORÇAMENTO!$X$15,ROW(AB41)-ROW(AB$15),0),0)</f>
        <v>0</v>
      </c>
      <c r="AC41" s="593">
        <f ca="1">IF(AND($D41="Serviço",AC$12&lt;&gt;0,$H41&gt;0,OR(AUTOEVENTO&lt;&gt;"manual",$M41&lt;&gt;1)),ROUND(OFFSET($P41,0,AC$13),15-13*ORÇAMENTO!$AF$7)/$H41*OFFSET(ORÇAMENTO!$X$15,ROW(AC41)-ROW(AC$15),0),0)</f>
        <v>0</v>
      </c>
      <c r="AD41" s="593">
        <f ca="1">IF(AND($D41="Serviço",AD$12&lt;&gt;0,$H41&gt;0,OR(AUTOEVENTO&lt;&gt;"manual",$M41&lt;&gt;1)),ROUND(OFFSET($P41,0,AD$13),15-13*ORÇAMENTO!$AF$7)/$H41*OFFSET(ORÇAMENTO!$X$15,ROW(AD41)-ROW(AD$15),0),0)</f>
        <v>0</v>
      </c>
      <c r="AE41" s="593">
        <f ca="1">IF(AND($D41="Serviço",AE$12&lt;&gt;0,$H41&gt;0,OR(AUTOEVENTO&lt;&gt;"manual",$M41&lt;&gt;1)),ROUND(OFFSET($P41,0,AE$13),15-13*ORÇAMENTO!$AF$7)/$H41*OFFSET(ORÇAMENTO!$X$15,ROW(AE41)-ROW(AE$15),0),0)</f>
        <v>0</v>
      </c>
      <c r="AF41" s="593">
        <f ca="1">IF(AND($D41="Serviço",AF$12&lt;&gt;0,$H41&gt;0,OR(AUTOEVENTO&lt;&gt;"manual",$M41&lt;&gt;1)),ROUND(OFFSET($P41,0,AF$13),15-13*ORÇAMENTO!$AF$7)/$H41*OFFSET(ORÇAMENTO!$X$15,ROW(AF41)-ROW(AF$15),0),0)</f>
        <v>0</v>
      </c>
      <c r="AG41" s="593">
        <f ca="1">IF(AND($D41="Serviço",AG$12&lt;&gt;0,$H41&gt;0,OR(AUTOEVENTO&lt;&gt;"manual",$M41&lt;&gt;1)),ROUND(OFFSET($P41,0,AG$13),15-13*ORÇAMENTO!$AF$7)/$H41*OFFSET(ORÇAMENTO!$X$15,ROW(AG41)-ROW(AG$15),0),0)</f>
        <v>0</v>
      </c>
      <c r="AH41" s="593">
        <f ca="1">IF(AND($D41="Serviço",AH$12&lt;&gt;0,$H41&gt;0,OR(AUTOEVENTO&lt;&gt;"manual",$M41&lt;&gt;1)),ROUND(OFFSET($P41,0,AH$13),15-13*ORÇAMENTO!$AF$7)/$H41*OFFSET(ORÇAMENTO!$X$15,ROW(AH41)-ROW(AH$15),0),0)</f>
        <v>0</v>
      </c>
      <c r="AI41" s="593">
        <f ca="1">IF(AND($D41="Serviço",AI$12&lt;&gt;0,$H41&gt;0,OR(AUTOEVENTO&lt;&gt;"manual",$M41&lt;&gt;1)),ROUND(OFFSET($P41,0,AI$13),15-13*ORÇAMENTO!$AF$7)/$H41*OFFSET(ORÇAMENTO!$X$15,ROW(AI41)-ROW(AI$15),0),0)</f>
        <v>0</v>
      </c>
      <c r="AJ41" s="593">
        <f ca="1">IF(AND($D41="Serviço",AJ$12&lt;&gt;0,$H41&gt;0,OR(AUTOEVENTO&lt;&gt;"manual",$M41&lt;&gt;1)),ROUND(OFFSET($P41,0,AJ$13),15-13*ORÇAMENTO!$AF$7)/$H41*OFFSET(ORÇAMENTO!$X$15,ROW(AJ41)-ROW(AJ$15),0),0)</f>
        <v>0</v>
      </c>
      <c r="AK41" s="594">
        <f ca="1">IF(AND($D41="Serviço",AK$12&lt;&gt;0,$H41&gt;0,OR(AUTOEVENTO&lt;&gt;"manual",$M41&lt;&gt;1)),ROUND(OFFSET($P41,0,AK$13),15-13*ORÇAMENTO!$AF$7)/$H41*OFFSET(ORÇAMENTO!$X$15,ROW(AK41)-ROW(AK$15),0),0)</f>
        <v>0</v>
      </c>
      <c r="AM41" s="215">
        <f ca="1">IF($D41&lt;&gt;"Serviço",0,IF(AND(AUTOEVENTO="Manual",$M41=1),0,IF(OFFSET(CRONOPLE!$F$14,$M41,AM$13)="",10^12,OFFSET(CRONOPLE!$F$14,$M41,AM$13))))</f>
        <v>1</v>
      </c>
      <c r="AN41" s="215">
        <f ca="1">IF($D41&lt;&gt;"Serviço",0,IF(AND(AUTOEVENTO="Manual",$M41=1),0,IF(OFFSET(CRONOPLE!$F$14,$M41,AN$13)="",10^12,OFFSET(CRONOPLE!$F$14,$M41,AN$13))))</f>
        <v>2</v>
      </c>
      <c r="AO41" s="215">
        <f ca="1">IF($D41&lt;&gt;"Serviço",0,IF(AND(AUTOEVENTO="Manual",$M41=1),0,IF(OFFSET(CRONOPLE!$F$14,$M41,AO$13)="",10^12,OFFSET(CRONOPLE!$F$14,$M41,AO$13))))</f>
        <v>1000000000000</v>
      </c>
      <c r="AP41" s="215">
        <f ca="1">IF($D41&lt;&gt;"Serviço",0,IF(AND(AUTOEVENTO="Manual",$M41=1),0,IF(OFFSET(CRONOPLE!$F$14,$M41,AP$13)="",10^12,OFFSET(CRONOPLE!$F$14,$M41,AP$13))))</f>
        <v>1000000000000</v>
      </c>
      <c r="AQ41" s="215">
        <f ca="1">IF($D41&lt;&gt;"Serviço",0,IF(AND(AUTOEVENTO="Manual",$M41=1),0,IF(OFFSET(CRONOPLE!$F$14,$M41,AQ$13)="",10^12,OFFSET(CRONOPLE!$F$14,$M41,AQ$13))))</f>
        <v>1000000000000</v>
      </c>
      <c r="AR41" s="215">
        <f ca="1">IF($D41&lt;&gt;"Serviço",0,IF(AND(AUTOEVENTO="Manual",$M41=1),0,IF(OFFSET(CRONOPLE!$F$14,$M41,AR$13)="",10^12,OFFSET(CRONOPLE!$F$14,$M41,AR$13))))</f>
        <v>1000000000000</v>
      </c>
      <c r="AS41" s="215">
        <f ca="1">IF($D41&lt;&gt;"Serviço",0,IF(AND(AUTOEVENTO="Manual",$M41=1),0,IF(OFFSET(CRONOPLE!$F$14,$M41,AS$13)="",10^12,OFFSET(CRONOPLE!$F$14,$M41,AS$13))))</f>
        <v>1000000000000</v>
      </c>
      <c r="AT41" s="215">
        <f ca="1">IF($D41&lt;&gt;"Serviço",0,IF(AND(AUTOEVENTO="Manual",$M41=1),0,IF(OFFSET(CRONOPLE!$F$14,$M41,AT$13)="",10^12,OFFSET(CRONOPLE!$F$14,$M41,AT$13))))</f>
        <v>1000000000000</v>
      </c>
      <c r="AU41" s="215">
        <f ca="1">IF($D41&lt;&gt;"Serviço",0,IF(AND(AUTOEVENTO="Manual",$M41=1),0,IF(OFFSET(CRONOPLE!$F$14,$M41,AU$13)="",10^12,OFFSET(CRONOPLE!$F$14,$M41,AU$13))))</f>
        <v>1000000000000</v>
      </c>
      <c r="AV41" s="215">
        <f ca="1">IF($D41&lt;&gt;"Serviço",0,IF(AND(AUTOEVENTO="Manual",$M41=1),0,IF(OFFSET(CRONOPLE!$F$14,$M41,AV$13)="",10^12,OFFSET(CRONOPLE!$F$14,$M41,AV$13))))</f>
        <v>1000000000000</v>
      </c>
      <c r="AX41" s="216">
        <f ca="1">IF($D41&lt;&gt;"Serviço",0,IF(OR(AND(AUTOEVENTO="Manual",$M41=1),$M41&gt;(ROW(PLE.lastrow)-ROW(PLE.firstrow))),0,IF(OFFSET(PLE!$G$14,$M41,AX$13)="",10^12,OFFSET(PLE!$G$14,$M41,AX$13))))</f>
        <v>1000000000000</v>
      </c>
      <c r="AY41" s="216">
        <f ca="1">IF($D41&lt;&gt;"Serviço",0,IF(OR(AND(AUTOEVENTO="Manual",$M41=1),$M41&gt;(ROW(PLE.lastrow)-ROW(PLE.firstrow))),0,IF(OFFSET(PLE!$G$14,$M41,AY$13)="",10^12,OFFSET(PLE!$G$14,$M41,AY$13))))</f>
        <v>1000000000000</v>
      </c>
      <c r="AZ41" s="216">
        <f ca="1">IF($D41&lt;&gt;"Serviço",0,IF(OR(AND(AUTOEVENTO="Manual",$M41=1),$M41&gt;(ROW(PLE.lastrow)-ROW(PLE.firstrow))),0,IF(OFFSET(PLE!$G$14,$M41,AZ$13)="",10^12,OFFSET(PLE!$G$14,$M41,AZ$13))))</f>
        <v>1000000000000</v>
      </c>
      <c r="BA41" s="216">
        <f ca="1">IF($D41&lt;&gt;"Serviço",0,IF(OR(AND(AUTOEVENTO="Manual",$M41=1),$M41&gt;(ROW(PLE.lastrow)-ROW(PLE.firstrow))),0,IF(OFFSET(PLE!$G$14,$M41,BA$13)="",10^12,OFFSET(PLE!$G$14,$M41,BA$13))))</f>
        <v>1000000000000</v>
      </c>
      <c r="BB41" s="216">
        <f ca="1">IF($D41&lt;&gt;"Serviço",0,IF(OR(AND(AUTOEVENTO="Manual",$M41=1),$M41&gt;(ROW(PLE.lastrow)-ROW(PLE.firstrow))),0,IF(OFFSET(PLE!$G$14,$M41,BB$13)="",10^12,OFFSET(PLE!$G$14,$M41,BB$13))))</f>
        <v>1000000000000</v>
      </c>
      <c r="BC41" s="216">
        <f ca="1">IF($D41&lt;&gt;"Serviço",0,IF(OR(AND(AUTOEVENTO="Manual",$M41=1),$M41&gt;(ROW(PLE.lastrow)-ROW(PLE.firstrow))),0,IF(OFFSET(PLE!$G$14,$M41,BC$13)="",10^12,OFFSET(PLE!$G$14,$M41,BC$13))))</f>
        <v>1000000000000</v>
      </c>
      <c r="BD41" s="216">
        <f ca="1">IF($D41&lt;&gt;"Serviço",0,IF(OR(AND(AUTOEVENTO="Manual",$M41=1),$M41&gt;(ROW(PLE.lastrow)-ROW(PLE.firstrow))),0,IF(OFFSET(PLE!$G$14,$M41,BD$13)="",10^12,OFFSET(PLE!$G$14,$M41,BD$13))))</f>
        <v>1000000000000</v>
      </c>
      <c r="BE41" s="216">
        <f ca="1">IF($D41&lt;&gt;"Serviço",0,IF(OR(AND(AUTOEVENTO="Manual",$M41=1),$M41&gt;(ROW(PLE.lastrow)-ROW(PLE.firstrow))),0,IF(OFFSET(PLE!$G$14,$M41,BE$13)="",10^12,OFFSET(PLE!$G$14,$M41,BE$13))))</f>
        <v>1000000000000</v>
      </c>
      <c r="BF41" s="216">
        <f ca="1">IF($D41&lt;&gt;"Serviço",0,IF(OR(AND(AUTOEVENTO="Manual",$M41=1),$M41&gt;(ROW(PLE.lastrow)-ROW(PLE.firstrow))),0,IF(OFFSET(PLE!$G$14,$M41,BF$13)="",10^12,OFFSET(PLE!$G$14,$M41,BF$13))))</f>
        <v>1000000000000</v>
      </c>
      <c r="BG41" s="216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27.</v>
      </c>
      <c r="B42" s="9">
        <f ca="1">OFFSET(ORÇAMENTO!C$15,ROW(B42)-ROW(B$15),0)</f>
        <v>2</v>
      </c>
      <c r="C42" s="9" t="str">
        <f ca="1">OFFSET(ORÇAMENTO!L$15,ROW(C42)-ROW(C$15),0)</f>
        <v>F</v>
      </c>
      <c r="D42" s="145" t="str">
        <f ca="1">OFFSET(ORÇAMENTO!N$15,ROW(D42)-ROW(D$15),0)</f>
        <v>Nível 2</v>
      </c>
      <c r="E42" s="205" t="str">
        <f ca="1">OFFSET(ORÇAMENTO!O$15,ROW(E42)-ROW(E$15),0)</f>
        <v>1.3.</v>
      </c>
      <c r="F42" s="206" t="str">
        <f ca="1">OFFSET(ORÇAMENTO!R$15,ROW(F42)-ROW(F$15),0)</f>
        <v>ALVENARIA</v>
      </c>
      <c r="G42" s="207" t="str">
        <f ca="1">IF($D42&lt;&gt;"Serviço","",OFFSET(ORÇAMENTO!S$15,ROW(G42)-ROW(G$15),0))</f>
        <v/>
      </c>
      <c r="H42" s="151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1"/>
      <c r="K42" s="208"/>
      <c r="L42" s="209" t="s">
        <v>254</v>
      </c>
      <c r="M42" s="210" t="str">
        <f ca="1">IF($D42&lt;&gt;"Serviço","",IF(AUTOEVENTO="manual",$A42,IF(ISERROR(MATCH($A42,$A$15:OFFSET($A42,-1,0),0)),MAX($M$15:OFFSET(M42,-1,0))+1,INDEX($M$15:OFFSET(M42,-1,0),MATCH($A42,$A$15:OFFSET($A42,-1,0),0)))))</f>
        <v/>
      </c>
      <c r="N42" s="211" t="str">
        <f ca="1">IF($D42&lt;&gt;"Serviço","",IF(AUTOEVENTO="Manual",IF($A42=0,"&lt;-- defina o número do agrupador",OFFSET(EVENTOS!$D$14,$A42,0)),OFFSET($F$15,$A42,0)))</f>
        <v/>
      </c>
      <c r="O42" s="212"/>
      <c r="Q42" s="212"/>
      <c r="R42" s="213"/>
      <c r="S42" s="213"/>
      <c r="T42" s="213"/>
      <c r="U42" s="213"/>
      <c r="V42" s="213"/>
      <c r="W42" s="213"/>
      <c r="X42" s="213"/>
      <c r="Y42" s="213"/>
      <c r="Z42" s="214"/>
      <c r="AB42" s="592">
        <f ca="1">IF(AND($D42="Serviço",AB$12&lt;&gt;0,$H42&gt;0,OR(AUTOEVENTO&lt;&gt;"manual",$M42&lt;&gt;1)),ROUND(OFFSET($P42,0,AB$13),15-13*ORÇAMENTO!$AF$7)/$H42*OFFSET(ORÇAMENTO!$X$15,ROW(AB42)-ROW(AB$15),0),0)</f>
        <v>0</v>
      </c>
      <c r="AC42" s="593">
        <f ca="1">IF(AND($D42="Serviço",AC$12&lt;&gt;0,$H42&gt;0,OR(AUTOEVENTO&lt;&gt;"manual",$M42&lt;&gt;1)),ROUND(OFFSET($P42,0,AC$13),15-13*ORÇAMENTO!$AF$7)/$H42*OFFSET(ORÇAMENTO!$X$15,ROW(AC42)-ROW(AC$15),0),0)</f>
        <v>0</v>
      </c>
      <c r="AD42" s="593">
        <f ca="1">IF(AND($D42="Serviço",AD$12&lt;&gt;0,$H42&gt;0,OR(AUTOEVENTO&lt;&gt;"manual",$M42&lt;&gt;1)),ROUND(OFFSET($P42,0,AD$13),15-13*ORÇAMENTO!$AF$7)/$H42*OFFSET(ORÇAMENTO!$X$15,ROW(AD42)-ROW(AD$15),0),0)</f>
        <v>0</v>
      </c>
      <c r="AE42" s="593">
        <f ca="1">IF(AND($D42="Serviço",AE$12&lt;&gt;0,$H42&gt;0,OR(AUTOEVENTO&lt;&gt;"manual",$M42&lt;&gt;1)),ROUND(OFFSET($P42,0,AE$13),15-13*ORÇAMENTO!$AF$7)/$H42*OFFSET(ORÇAMENTO!$X$15,ROW(AE42)-ROW(AE$15),0),0)</f>
        <v>0</v>
      </c>
      <c r="AF42" s="593">
        <f ca="1">IF(AND($D42="Serviço",AF$12&lt;&gt;0,$H42&gt;0,OR(AUTOEVENTO&lt;&gt;"manual",$M42&lt;&gt;1)),ROUND(OFFSET($P42,0,AF$13),15-13*ORÇAMENTO!$AF$7)/$H42*OFFSET(ORÇAMENTO!$X$15,ROW(AF42)-ROW(AF$15),0),0)</f>
        <v>0</v>
      </c>
      <c r="AG42" s="593">
        <f ca="1">IF(AND($D42="Serviço",AG$12&lt;&gt;0,$H42&gt;0,OR(AUTOEVENTO&lt;&gt;"manual",$M42&lt;&gt;1)),ROUND(OFFSET($P42,0,AG$13),15-13*ORÇAMENTO!$AF$7)/$H42*OFFSET(ORÇAMENTO!$X$15,ROW(AG42)-ROW(AG$15),0),0)</f>
        <v>0</v>
      </c>
      <c r="AH42" s="593">
        <f ca="1">IF(AND($D42="Serviço",AH$12&lt;&gt;0,$H42&gt;0,OR(AUTOEVENTO&lt;&gt;"manual",$M42&lt;&gt;1)),ROUND(OFFSET($P42,0,AH$13),15-13*ORÇAMENTO!$AF$7)/$H42*OFFSET(ORÇAMENTO!$X$15,ROW(AH42)-ROW(AH$15),0),0)</f>
        <v>0</v>
      </c>
      <c r="AI42" s="593">
        <f ca="1">IF(AND($D42="Serviço",AI$12&lt;&gt;0,$H42&gt;0,OR(AUTOEVENTO&lt;&gt;"manual",$M42&lt;&gt;1)),ROUND(OFFSET($P42,0,AI$13),15-13*ORÇAMENTO!$AF$7)/$H42*OFFSET(ORÇAMENTO!$X$15,ROW(AI42)-ROW(AI$15),0),0)</f>
        <v>0</v>
      </c>
      <c r="AJ42" s="593">
        <f ca="1">IF(AND($D42="Serviço",AJ$12&lt;&gt;0,$H42&gt;0,OR(AUTOEVENTO&lt;&gt;"manual",$M42&lt;&gt;1)),ROUND(OFFSET($P42,0,AJ$13),15-13*ORÇAMENTO!$AF$7)/$H42*OFFSET(ORÇAMENTO!$X$15,ROW(AJ42)-ROW(AJ$15),0),0)</f>
        <v>0</v>
      </c>
      <c r="AK42" s="594">
        <f ca="1">IF(AND($D42="Serviço",AK$12&lt;&gt;0,$H42&gt;0,OR(AUTOEVENTO&lt;&gt;"manual",$M42&lt;&gt;1)),ROUND(OFFSET($P42,0,AK$13),15-13*ORÇAMENTO!$AF$7)/$H42*OFFSET(ORÇAMENTO!$X$15,ROW(AK42)-ROW(AK$15),0),0)</f>
        <v>0</v>
      </c>
      <c r="AM42" s="215">
        <f ca="1">IF($D42&lt;&gt;"Serviço",0,IF(AND(AUTOEVENTO="Manual",$M42=1),0,IF(OFFSET(CRONOPLE!$F$14,$M42,AM$13)="",10^12,OFFSET(CRONOPLE!$F$14,$M42,AM$13))))</f>
        <v>0</v>
      </c>
      <c r="AN42" s="215">
        <f ca="1">IF($D42&lt;&gt;"Serviço",0,IF(AND(AUTOEVENTO="Manual",$M42=1),0,IF(OFFSET(CRONOPLE!$F$14,$M42,AN$13)="",10^12,OFFSET(CRONOPLE!$F$14,$M42,AN$13))))</f>
        <v>0</v>
      </c>
      <c r="AO42" s="215">
        <f ca="1">IF($D42&lt;&gt;"Serviço",0,IF(AND(AUTOEVENTO="Manual",$M42=1),0,IF(OFFSET(CRONOPLE!$F$14,$M42,AO$13)="",10^12,OFFSET(CRONOPLE!$F$14,$M42,AO$13))))</f>
        <v>0</v>
      </c>
      <c r="AP42" s="215">
        <f ca="1">IF($D42&lt;&gt;"Serviço",0,IF(AND(AUTOEVENTO="Manual",$M42=1),0,IF(OFFSET(CRONOPLE!$F$14,$M42,AP$13)="",10^12,OFFSET(CRONOPLE!$F$14,$M42,AP$13))))</f>
        <v>0</v>
      </c>
      <c r="AQ42" s="215">
        <f ca="1">IF($D42&lt;&gt;"Serviço",0,IF(AND(AUTOEVENTO="Manual",$M42=1),0,IF(OFFSET(CRONOPLE!$F$14,$M42,AQ$13)="",10^12,OFFSET(CRONOPLE!$F$14,$M42,AQ$13))))</f>
        <v>0</v>
      </c>
      <c r="AR42" s="215">
        <f ca="1">IF($D42&lt;&gt;"Serviço",0,IF(AND(AUTOEVENTO="Manual",$M42=1),0,IF(OFFSET(CRONOPLE!$F$14,$M42,AR$13)="",10^12,OFFSET(CRONOPLE!$F$14,$M42,AR$13))))</f>
        <v>0</v>
      </c>
      <c r="AS42" s="215">
        <f ca="1">IF($D42&lt;&gt;"Serviço",0,IF(AND(AUTOEVENTO="Manual",$M42=1),0,IF(OFFSET(CRONOPLE!$F$14,$M42,AS$13)="",10^12,OFFSET(CRONOPLE!$F$14,$M42,AS$13))))</f>
        <v>0</v>
      </c>
      <c r="AT42" s="215">
        <f ca="1">IF($D42&lt;&gt;"Serviço",0,IF(AND(AUTOEVENTO="Manual",$M42=1),0,IF(OFFSET(CRONOPLE!$F$14,$M42,AT$13)="",10^12,OFFSET(CRONOPLE!$F$14,$M42,AT$13))))</f>
        <v>0</v>
      </c>
      <c r="AU42" s="215">
        <f ca="1">IF($D42&lt;&gt;"Serviço",0,IF(AND(AUTOEVENTO="Manual",$M42=1),0,IF(OFFSET(CRONOPLE!$F$14,$M42,AU$13)="",10^12,OFFSET(CRONOPLE!$F$14,$M42,AU$13))))</f>
        <v>0</v>
      </c>
      <c r="AV42" s="215">
        <f ca="1">IF($D42&lt;&gt;"Serviço",0,IF(AND(AUTOEVENTO="Manual",$M42=1),0,IF(OFFSET(CRONOPLE!$F$14,$M42,AV$13)="",10^12,OFFSET(CRONOPLE!$F$14,$M42,AV$13))))</f>
        <v>0</v>
      </c>
      <c r="AX42" s="216">
        <f ca="1">IF($D42&lt;&gt;"Serviço",0,IF(OR(AND(AUTOEVENTO="Manual",$M42=1),$M42&gt;(ROW(PLE.lastrow)-ROW(PLE.firstrow))),0,IF(OFFSET(PLE!$G$14,$M42,AX$13)="",10^12,OFFSET(PLE!$G$14,$M42,AX$13))))</f>
        <v>0</v>
      </c>
      <c r="AY42" s="216">
        <f ca="1">IF($D42&lt;&gt;"Serviço",0,IF(OR(AND(AUTOEVENTO="Manual",$M42=1),$M42&gt;(ROW(PLE.lastrow)-ROW(PLE.firstrow))),0,IF(OFFSET(PLE!$G$14,$M42,AY$13)="",10^12,OFFSET(PLE!$G$14,$M42,AY$13))))</f>
        <v>0</v>
      </c>
      <c r="AZ42" s="216">
        <f ca="1">IF($D42&lt;&gt;"Serviço",0,IF(OR(AND(AUTOEVENTO="Manual",$M42=1),$M42&gt;(ROW(PLE.lastrow)-ROW(PLE.firstrow))),0,IF(OFFSET(PLE!$G$14,$M42,AZ$13)="",10^12,OFFSET(PLE!$G$14,$M42,AZ$13))))</f>
        <v>0</v>
      </c>
      <c r="BA42" s="216">
        <f ca="1">IF($D42&lt;&gt;"Serviço",0,IF(OR(AND(AUTOEVENTO="Manual",$M42=1),$M42&gt;(ROW(PLE.lastrow)-ROW(PLE.firstrow))),0,IF(OFFSET(PLE!$G$14,$M42,BA$13)="",10^12,OFFSET(PLE!$G$14,$M42,BA$13))))</f>
        <v>0</v>
      </c>
      <c r="BB42" s="216">
        <f ca="1">IF($D42&lt;&gt;"Serviço",0,IF(OR(AND(AUTOEVENTO="Manual",$M42=1),$M42&gt;(ROW(PLE.lastrow)-ROW(PLE.firstrow))),0,IF(OFFSET(PLE!$G$14,$M42,BB$13)="",10^12,OFFSET(PLE!$G$14,$M42,BB$13))))</f>
        <v>0</v>
      </c>
      <c r="BC42" s="216">
        <f ca="1">IF($D42&lt;&gt;"Serviço",0,IF(OR(AND(AUTOEVENTO="Manual",$M42=1),$M42&gt;(ROW(PLE.lastrow)-ROW(PLE.firstrow))),0,IF(OFFSET(PLE!$G$14,$M42,BC$13)="",10^12,OFFSET(PLE!$G$14,$M42,BC$13))))</f>
        <v>0</v>
      </c>
      <c r="BD42" s="216">
        <f ca="1">IF($D42&lt;&gt;"Serviço",0,IF(OR(AND(AUTOEVENTO="Manual",$M42=1),$M42&gt;(ROW(PLE.lastrow)-ROW(PLE.firstrow))),0,IF(OFFSET(PLE!$G$14,$M42,BD$13)="",10^12,OFFSET(PLE!$G$14,$M42,BD$13))))</f>
        <v>0</v>
      </c>
      <c r="BE42" s="216">
        <f ca="1">IF($D42&lt;&gt;"Serviço",0,IF(OR(AND(AUTOEVENTO="Manual",$M42=1),$M42&gt;(ROW(PLE.lastrow)-ROW(PLE.firstrow))),0,IF(OFFSET(PLE!$G$14,$M42,BE$13)="",10^12,OFFSET(PLE!$G$14,$M42,BE$13))))</f>
        <v>0</v>
      </c>
      <c r="BF42" s="216">
        <f ca="1">IF($D42&lt;&gt;"Serviço",0,IF(OR(AND(AUTOEVENTO="Manual",$M42=1),$M42&gt;(ROW(PLE.lastrow)-ROW(PLE.firstrow))),0,IF(OFFSET(PLE!$G$14,$M42,BF$13)="",10^12,OFFSET(PLE!$G$14,$M42,BF$13))))</f>
        <v>0</v>
      </c>
      <c r="BG42" s="216">
        <f ca="1">IF($D42&lt;&gt;"Serviço",0,IF(OR(AND(AUTOEVENTO="Manual",$M42=1),$M42&gt;(ROW(PLE.lastrow)-ROW(PLE.firstrow))),0,IF(OFFSET(PLE!$G$14,$M42,BG$13)="",10^12,OFFSET(PLE!$G$14,$M42,BG$13))))</f>
        <v>0</v>
      </c>
    </row>
    <row r="43" spans="1:59" ht="12.75" x14ac:dyDescent="0.2">
      <c r="A43" s="9" t="str">
        <f t="shared" ca="1" si="8"/>
        <v>27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5" t="str">
        <f ca="1">OFFSET(ORÇAMENTO!N$15,ROW(D43)-ROW(D$15),0)</f>
        <v>Serviço</v>
      </c>
      <c r="E43" s="205" t="str">
        <f ca="1">OFFSET(ORÇAMENTO!O$15,ROW(E43)-ROW(E$15),0)</f>
        <v>1.3.1.</v>
      </c>
      <c r="F43" s="206" t="str">
        <f ca="1">OFFSET(ORÇAMENTO!R$15,ROW(F43)-ROW(F$15),0)</f>
        <v>(abra o arquivo 'Referência 05-2023.xls)</v>
      </c>
      <c r="G43" s="207" t="str">
        <f ca="1">IF($D43&lt;&gt;"Serviço","",OFFSET(ORÇAMENTO!S$15,ROW(G43)-ROW(G$15),0))</f>
        <v>-</v>
      </c>
      <c r="H43" s="151">
        <f ca="1">IF($D43&lt;&gt;"Serviço",0,IF(ACOMPANHAMENTO="BM",ROUND(OFFSET(ORÇAMENTO!AJ$15,ROW(H43)-ROW(H$15),0),15-13*ORÇAMENTO!$AF$7),SUMPRODUCT(($Q$12:$AA$12&lt;&gt;"")*ROUND($Q43:$AA43,15-13*ORÇAMENTO!$AF$7))))</f>
        <v>2.85</v>
      </c>
      <c r="I43" s="611" t="s">
        <v>465</v>
      </c>
      <c r="K43" s="208"/>
      <c r="L43" s="209" t="s">
        <v>254</v>
      </c>
      <c r="M43" s="210">
        <f ca="1">IF($D43&lt;&gt;"Serviço","",IF(AUTOEVENTO="manual",$A43,IF(ISERROR(MATCH($A43,$A$15:OFFSET($A43,-1,0),0)),MAX($M$15:OFFSET(M43,-1,0))+1,INDEX($M$15:OFFSET(M43,-1,0),MATCH($A43,$A$15:OFFSET($A43,-1,0),0)))))</f>
        <v>4</v>
      </c>
      <c r="N43" s="211" t="str">
        <f ca="1">IF($D43&lt;&gt;"Serviço","",IF(AUTOEVENTO="Manual",IF($A43=0,"&lt;-- defina o número do agrupador",OFFSET(EVENTOS!$D$14,$A43,0)),OFFSET($F$15,$A43,0)))</f>
        <v>ALVENARIA</v>
      </c>
      <c r="O43" s="212"/>
      <c r="Q43" s="212">
        <v>2.85</v>
      </c>
      <c r="R43" s="213"/>
      <c r="S43" s="213"/>
      <c r="T43" s="213"/>
      <c r="U43" s="213"/>
      <c r="V43" s="213"/>
      <c r="W43" s="213"/>
      <c r="X43" s="213"/>
      <c r="Y43" s="213"/>
      <c r="Z43" s="214"/>
      <c r="AB43" s="592">
        <f ca="1">IF(AND($D43="Serviço",AB$12&lt;&gt;0,$H43&gt;0,OR(AUTOEVENTO&lt;&gt;"manual",$M43&lt;&gt;1)),ROUND(OFFSET($P43,0,AB$13),15-13*ORÇAMENTO!$AF$7)/$H43*OFFSET(ORÇAMENTO!$X$15,ROW(AB43)-ROW(AB$15),0),0)</f>
        <v>216.63</v>
      </c>
      <c r="AC43" s="593">
        <f ca="1">IF(AND($D43="Serviço",AC$12&lt;&gt;0,$H43&gt;0,OR(AUTOEVENTO&lt;&gt;"manual",$M43&lt;&gt;1)),ROUND(OFFSET($P43,0,AC$13),15-13*ORÇAMENTO!$AF$7)/$H43*OFFSET(ORÇAMENTO!$X$15,ROW(AC43)-ROW(AC$15),0),0)</f>
        <v>0</v>
      </c>
      <c r="AD43" s="593">
        <f ca="1">IF(AND($D43="Serviço",AD$12&lt;&gt;0,$H43&gt;0,OR(AUTOEVENTO&lt;&gt;"manual",$M43&lt;&gt;1)),ROUND(OFFSET($P43,0,AD$13),15-13*ORÇAMENTO!$AF$7)/$H43*OFFSET(ORÇAMENTO!$X$15,ROW(AD43)-ROW(AD$15),0),0)</f>
        <v>0</v>
      </c>
      <c r="AE43" s="593">
        <f ca="1">IF(AND($D43="Serviço",AE$12&lt;&gt;0,$H43&gt;0,OR(AUTOEVENTO&lt;&gt;"manual",$M43&lt;&gt;1)),ROUND(OFFSET($P43,0,AE$13),15-13*ORÇAMENTO!$AF$7)/$H43*OFFSET(ORÇAMENTO!$X$15,ROW(AE43)-ROW(AE$15),0),0)</f>
        <v>0</v>
      </c>
      <c r="AF43" s="593">
        <f ca="1">IF(AND($D43="Serviço",AF$12&lt;&gt;0,$H43&gt;0,OR(AUTOEVENTO&lt;&gt;"manual",$M43&lt;&gt;1)),ROUND(OFFSET($P43,0,AF$13),15-13*ORÇAMENTO!$AF$7)/$H43*OFFSET(ORÇAMENTO!$X$15,ROW(AF43)-ROW(AF$15),0),0)</f>
        <v>0</v>
      </c>
      <c r="AG43" s="593">
        <f ca="1">IF(AND($D43="Serviço",AG$12&lt;&gt;0,$H43&gt;0,OR(AUTOEVENTO&lt;&gt;"manual",$M43&lt;&gt;1)),ROUND(OFFSET($P43,0,AG$13),15-13*ORÇAMENTO!$AF$7)/$H43*OFFSET(ORÇAMENTO!$X$15,ROW(AG43)-ROW(AG$15),0),0)</f>
        <v>0</v>
      </c>
      <c r="AH43" s="593">
        <f ca="1">IF(AND($D43="Serviço",AH$12&lt;&gt;0,$H43&gt;0,OR(AUTOEVENTO&lt;&gt;"manual",$M43&lt;&gt;1)),ROUND(OFFSET($P43,0,AH$13),15-13*ORÇAMENTO!$AF$7)/$H43*OFFSET(ORÇAMENTO!$X$15,ROW(AH43)-ROW(AH$15),0),0)</f>
        <v>0</v>
      </c>
      <c r="AI43" s="593">
        <f ca="1">IF(AND($D43="Serviço",AI$12&lt;&gt;0,$H43&gt;0,OR(AUTOEVENTO&lt;&gt;"manual",$M43&lt;&gt;1)),ROUND(OFFSET($P43,0,AI$13),15-13*ORÇAMENTO!$AF$7)/$H43*OFFSET(ORÇAMENTO!$X$15,ROW(AI43)-ROW(AI$15),0),0)</f>
        <v>0</v>
      </c>
      <c r="AJ43" s="593">
        <f ca="1">IF(AND($D43="Serviço",AJ$12&lt;&gt;0,$H43&gt;0,OR(AUTOEVENTO&lt;&gt;"manual",$M43&lt;&gt;1)),ROUND(OFFSET($P43,0,AJ$13),15-13*ORÇAMENTO!$AF$7)/$H43*OFFSET(ORÇAMENTO!$X$15,ROW(AJ43)-ROW(AJ$15),0),0)</f>
        <v>0</v>
      </c>
      <c r="AK43" s="594">
        <f ca="1">IF(AND($D43="Serviço",AK$12&lt;&gt;0,$H43&gt;0,OR(AUTOEVENTO&lt;&gt;"manual",$M43&lt;&gt;1)),ROUND(OFFSET($P43,0,AK$13),15-13*ORÇAMENTO!$AF$7)/$H43*OFFSET(ORÇAMENTO!$X$15,ROW(AK43)-ROW(AK$15),0),0)</f>
        <v>0</v>
      </c>
      <c r="AM43" s="215">
        <f ca="1">IF($D43&lt;&gt;"Serviço",0,IF(AND(AUTOEVENTO="Manual",$M43=1),0,IF(OFFSET(CRONOPLE!$F$14,$M43,AM$13)="",10^12,OFFSET(CRONOPLE!$F$14,$M43,AM$13))))</f>
        <v>1</v>
      </c>
      <c r="AN43" s="215">
        <f ca="1">IF($D43&lt;&gt;"Serviço",0,IF(AND(AUTOEVENTO="Manual",$M43=1),0,IF(OFFSET(CRONOPLE!$F$14,$M43,AN$13)="",10^12,OFFSET(CRONOPLE!$F$14,$M43,AN$13))))</f>
        <v>3</v>
      </c>
      <c r="AO43" s="215">
        <f ca="1">IF($D43&lt;&gt;"Serviço",0,IF(AND(AUTOEVENTO="Manual",$M43=1),0,IF(OFFSET(CRONOPLE!$F$14,$M43,AO$13)="",10^12,OFFSET(CRONOPLE!$F$14,$M43,AO$13))))</f>
        <v>1000000000000</v>
      </c>
      <c r="AP43" s="215">
        <f ca="1">IF($D43&lt;&gt;"Serviço",0,IF(AND(AUTOEVENTO="Manual",$M43=1),0,IF(OFFSET(CRONOPLE!$F$14,$M43,AP$13)="",10^12,OFFSET(CRONOPLE!$F$14,$M43,AP$13))))</f>
        <v>1000000000000</v>
      </c>
      <c r="AQ43" s="215">
        <f ca="1">IF($D43&lt;&gt;"Serviço",0,IF(AND(AUTOEVENTO="Manual",$M43=1),0,IF(OFFSET(CRONOPLE!$F$14,$M43,AQ$13)="",10^12,OFFSET(CRONOPLE!$F$14,$M43,AQ$13))))</f>
        <v>1000000000000</v>
      </c>
      <c r="AR43" s="215">
        <f ca="1">IF($D43&lt;&gt;"Serviço",0,IF(AND(AUTOEVENTO="Manual",$M43=1),0,IF(OFFSET(CRONOPLE!$F$14,$M43,AR$13)="",10^12,OFFSET(CRONOPLE!$F$14,$M43,AR$13))))</f>
        <v>1000000000000</v>
      </c>
      <c r="AS43" s="215">
        <f ca="1">IF($D43&lt;&gt;"Serviço",0,IF(AND(AUTOEVENTO="Manual",$M43=1),0,IF(OFFSET(CRONOPLE!$F$14,$M43,AS$13)="",10^12,OFFSET(CRONOPLE!$F$14,$M43,AS$13))))</f>
        <v>1000000000000</v>
      </c>
      <c r="AT43" s="215">
        <f ca="1">IF($D43&lt;&gt;"Serviço",0,IF(AND(AUTOEVENTO="Manual",$M43=1),0,IF(OFFSET(CRONOPLE!$F$14,$M43,AT$13)="",10^12,OFFSET(CRONOPLE!$F$14,$M43,AT$13))))</f>
        <v>1000000000000</v>
      </c>
      <c r="AU43" s="215">
        <f ca="1">IF($D43&lt;&gt;"Serviço",0,IF(AND(AUTOEVENTO="Manual",$M43=1),0,IF(OFFSET(CRONOPLE!$F$14,$M43,AU$13)="",10^12,OFFSET(CRONOPLE!$F$14,$M43,AU$13))))</f>
        <v>1000000000000</v>
      </c>
      <c r="AV43" s="215">
        <f ca="1">IF($D43&lt;&gt;"Serviço",0,IF(AND(AUTOEVENTO="Manual",$M43=1),0,IF(OFFSET(CRONOPLE!$F$14,$M43,AV$13)="",10^12,OFFSET(CRONOPLE!$F$14,$M43,AV$13))))</f>
        <v>1000000000000</v>
      </c>
      <c r="AX43" s="216">
        <f ca="1">IF($D43&lt;&gt;"Serviço",0,IF(OR(AND(AUTOEVENTO="Manual",$M43=1),$M43&gt;(ROW(PLE.lastrow)-ROW(PLE.firstrow))),0,IF(OFFSET(PLE!$G$14,$M43,AX$13)="",10^12,OFFSET(PLE!$G$14,$M43,AX$13))))</f>
        <v>1000000000000</v>
      </c>
      <c r="AY43" s="216">
        <f ca="1">IF($D43&lt;&gt;"Serviço",0,IF(OR(AND(AUTOEVENTO="Manual",$M43=1),$M43&gt;(ROW(PLE.lastrow)-ROW(PLE.firstrow))),0,IF(OFFSET(PLE!$G$14,$M43,AY$13)="",10^12,OFFSET(PLE!$G$14,$M43,AY$13))))</f>
        <v>1000000000000</v>
      </c>
      <c r="AZ43" s="216">
        <f ca="1">IF($D43&lt;&gt;"Serviço",0,IF(OR(AND(AUTOEVENTO="Manual",$M43=1),$M43&gt;(ROW(PLE.lastrow)-ROW(PLE.firstrow))),0,IF(OFFSET(PLE!$G$14,$M43,AZ$13)="",10^12,OFFSET(PLE!$G$14,$M43,AZ$13))))</f>
        <v>1000000000000</v>
      </c>
      <c r="BA43" s="216">
        <f ca="1">IF($D43&lt;&gt;"Serviço",0,IF(OR(AND(AUTOEVENTO="Manual",$M43=1),$M43&gt;(ROW(PLE.lastrow)-ROW(PLE.firstrow))),0,IF(OFFSET(PLE!$G$14,$M43,BA$13)="",10^12,OFFSET(PLE!$G$14,$M43,BA$13))))</f>
        <v>1000000000000</v>
      </c>
      <c r="BB43" s="216">
        <f ca="1">IF($D43&lt;&gt;"Serviço",0,IF(OR(AND(AUTOEVENTO="Manual",$M43=1),$M43&gt;(ROW(PLE.lastrow)-ROW(PLE.firstrow))),0,IF(OFFSET(PLE!$G$14,$M43,BB$13)="",10^12,OFFSET(PLE!$G$14,$M43,BB$13))))</f>
        <v>1000000000000</v>
      </c>
      <c r="BC43" s="216">
        <f ca="1">IF($D43&lt;&gt;"Serviço",0,IF(OR(AND(AUTOEVENTO="Manual",$M43=1),$M43&gt;(ROW(PLE.lastrow)-ROW(PLE.firstrow))),0,IF(OFFSET(PLE!$G$14,$M43,BC$13)="",10^12,OFFSET(PLE!$G$14,$M43,BC$13))))</f>
        <v>1000000000000</v>
      </c>
      <c r="BD43" s="216">
        <f ca="1">IF($D43&lt;&gt;"Serviço",0,IF(OR(AND(AUTOEVENTO="Manual",$M43=1),$M43&gt;(ROW(PLE.lastrow)-ROW(PLE.firstrow))),0,IF(OFFSET(PLE!$G$14,$M43,BD$13)="",10^12,OFFSET(PLE!$G$14,$M43,BD$13))))</f>
        <v>1000000000000</v>
      </c>
      <c r="BE43" s="216">
        <f ca="1">IF($D43&lt;&gt;"Serviço",0,IF(OR(AND(AUTOEVENTO="Manual",$M43=1),$M43&gt;(ROW(PLE.lastrow)-ROW(PLE.firstrow))),0,IF(OFFSET(PLE!$G$14,$M43,BE$13)="",10^12,OFFSET(PLE!$G$14,$M43,BE$13))))</f>
        <v>1000000000000</v>
      </c>
      <c r="BF43" s="216">
        <f ca="1">IF($D43&lt;&gt;"Serviço",0,IF(OR(AND(AUTOEVENTO="Manual",$M43=1),$M43&gt;(ROW(PLE.lastrow)-ROW(PLE.firstrow))),0,IF(OFFSET(PLE!$G$14,$M43,BF$13)="",10^12,OFFSET(PLE!$G$14,$M43,BF$13))))</f>
        <v>1000000000000</v>
      </c>
      <c r="BG43" s="216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x14ac:dyDescent="0.2">
      <c r="A44" s="9" t="str">
        <f t="shared" ca="1" si="8"/>
        <v>27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5" t="str">
        <f ca="1">OFFSET(ORÇAMENTO!N$15,ROW(D44)-ROW(D$15),0)</f>
        <v>Serviço</v>
      </c>
      <c r="E44" s="205" t="str">
        <f ca="1">OFFSET(ORÇAMENTO!O$15,ROW(E44)-ROW(E$15),0)</f>
        <v>1.3.2.</v>
      </c>
      <c r="F44" s="206" t="str">
        <f ca="1">OFFSET(ORÇAMENTO!R$15,ROW(F44)-ROW(F$15),0)</f>
        <v>(abra o arquivo 'Referência 05-2023.xls)</v>
      </c>
      <c r="G44" s="207" t="str">
        <f ca="1">IF($D44&lt;&gt;"Serviço","",OFFSET(ORÇAMENTO!S$15,ROW(G44)-ROW(G$15),0))</f>
        <v>-</v>
      </c>
      <c r="H44" s="151">
        <f ca="1">IF($D44&lt;&gt;"Serviço",0,IF(ACOMPANHAMENTO="BM",ROUND(OFFSET(ORÇAMENTO!AJ$15,ROW(H44)-ROW(H$15),0),15-13*ORÇAMENTO!$AF$7),SUMPRODUCT(($Q$12:$AA$12&lt;&gt;"")*ROUND($Q44:$AA44,15-13*ORÇAMENTO!$AF$7))))</f>
        <v>5.7</v>
      </c>
      <c r="I44" s="611" t="s">
        <v>470</v>
      </c>
      <c r="K44" s="208"/>
      <c r="L44" s="209" t="s">
        <v>254</v>
      </c>
      <c r="M44" s="210">
        <f ca="1">IF($D44&lt;&gt;"Serviço","",IF(AUTOEVENTO="manual",$A44,IF(ISERROR(MATCH($A44,$A$15:OFFSET($A44,-1,0),0)),MAX($M$15:OFFSET(M44,-1,0))+1,INDEX($M$15:OFFSET(M44,-1,0),MATCH($A44,$A$15:OFFSET($A44,-1,0),0)))))</f>
        <v>4</v>
      </c>
      <c r="N44" s="211" t="str">
        <f ca="1">IF($D44&lt;&gt;"Serviço","",IF(AUTOEVENTO="Manual",IF($A44=0,"&lt;-- defina o número do agrupador",OFFSET(EVENTOS!$D$14,$A44,0)),OFFSET($F$15,$A44,0)))</f>
        <v>ALVENARIA</v>
      </c>
      <c r="O44" s="212"/>
      <c r="Q44" s="212">
        <v>5.7</v>
      </c>
      <c r="R44" s="213"/>
      <c r="S44" s="213"/>
      <c r="T44" s="213"/>
      <c r="U44" s="213"/>
      <c r="V44" s="213"/>
      <c r="W44" s="213"/>
      <c r="X44" s="213"/>
      <c r="Y44" s="213"/>
      <c r="Z44" s="214"/>
      <c r="AB44" s="592">
        <f ca="1">IF(AND($D44="Serviço",AB$12&lt;&gt;0,$H44&gt;0,OR(AUTOEVENTO&lt;&gt;"manual",$M44&lt;&gt;1)),ROUND(OFFSET($P44,0,AB$13),15-13*ORÇAMENTO!$AF$7)/$H44*OFFSET(ORÇAMENTO!$X$15,ROW(AB44)-ROW(AB$15),0),0)</f>
        <v>37.909999999999997</v>
      </c>
      <c r="AC44" s="593">
        <f ca="1">IF(AND($D44="Serviço",AC$12&lt;&gt;0,$H44&gt;0,OR(AUTOEVENTO&lt;&gt;"manual",$M44&lt;&gt;1)),ROUND(OFFSET($P44,0,AC$13),15-13*ORÇAMENTO!$AF$7)/$H44*OFFSET(ORÇAMENTO!$X$15,ROW(AC44)-ROW(AC$15),0),0)</f>
        <v>0</v>
      </c>
      <c r="AD44" s="593">
        <f ca="1">IF(AND($D44="Serviço",AD$12&lt;&gt;0,$H44&gt;0,OR(AUTOEVENTO&lt;&gt;"manual",$M44&lt;&gt;1)),ROUND(OFFSET($P44,0,AD$13),15-13*ORÇAMENTO!$AF$7)/$H44*OFFSET(ORÇAMENTO!$X$15,ROW(AD44)-ROW(AD$15),0),0)</f>
        <v>0</v>
      </c>
      <c r="AE44" s="593">
        <f ca="1">IF(AND($D44="Serviço",AE$12&lt;&gt;0,$H44&gt;0,OR(AUTOEVENTO&lt;&gt;"manual",$M44&lt;&gt;1)),ROUND(OFFSET($P44,0,AE$13),15-13*ORÇAMENTO!$AF$7)/$H44*OFFSET(ORÇAMENTO!$X$15,ROW(AE44)-ROW(AE$15),0),0)</f>
        <v>0</v>
      </c>
      <c r="AF44" s="593">
        <f ca="1">IF(AND($D44="Serviço",AF$12&lt;&gt;0,$H44&gt;0,OR(AUTOEVENTO&lt;&gt;"manual",$M44&lt;&gt;1)),ROUND(OFFSET($P44,0,AF$13),15-13*ORÇAMENTO!$AF$7)/$H44*OFFSET(ORÇAMENTO!$X$15,ROW(AF44)-ROW(AF$15),0),0)</f>
        <v>0</v>
      </c>
      <c r="AG44" s="593">
        <f ca="1">IF(AND($D44="Serviço",AG$12&lt;&gt;0,$H44&gt;0,OR(AUTOEVENTO&lt;&gt;"manual",$M44&lt;&gt;1)),ROUND(OFFSET($P44,0,AG$13),15-13*ORÇAMENTO!$AF$7)/$H44*OFFSET(ORÇAMENTO!$X$15,ROW(AG44)-ROW(AG$15),0),0)</f>
        <v>0</v>
      </c>
      <c r="AH44" s="593">
        <f ca="1">IF(AND($D44="Serviço",AH$12&lt;&gt;0,$H44&gt;0,OR(AUTOEVENTO&lt;&gt;"manual",$M44&lt;&gt;1)),ROUND(OFFSET($P44,0,AH$13),15-13*ORÇAMENTO!$AF$7)/$H44*OFFSET(ORÇAMENTO!$X$15,ROW(AH44)-ROW(AH$15),0),0)</f>
        <v>0</v>
      </c>
      <c r="AI44" s="593">
        <f ca="1">IF(AND($D44="Serviço",AI$12&lt;&gt;0,$H44&gt;0,OR(AUTOEVENTO&lt;&gt;"manual",$M44&lt;&gt;1)),ROUND(OFFSET($P44,0,AI$13),15-13*ORÇAMENTO!$AF$7)/$H44*OFFSET(ORÇAMENTO!$X$15,ROW(AI44)-ROW(AI$15),0),0)</f>
        <v>0</v>
      </c>
      <c r="AJ44" s="593">
        <f ca="1">IF(AND($D44="Serviço",AJ$12&lt;&gt;0,$H44&gt;0,OR(AUTOEVENTO&lt;&gt;"manual",$M44&lt;&gt;1)),ROUND(OFFSET($P44,0,AJ$13),15-13*ORÇAMENTO!$AF$7)/$H44*OFFSET(ORÇAMENTO!$X$15,ROW(AJ44)-ROW(AJ$15),0),0)</f>
        <v>0</v>
      </c>
      <c r="AK44" s="594">
        <f ca="1">IF(AND($D44="Serviço",AK$12&lt;&gt;0,$H44&gt;0,OR(AUTOEVENTO&lt;&gt;"manual",$M44&lt;&gt;1)),ROUND(OFFSET($P44,0,AK$13),15-13*ORÇAMENTO!$AF$7)/$H44*OFFSET(ORÇAMENTO!$X$15,ROW(AK44)-ROW(AK$15),0),0)</f>
        <v>0</v>
      </c>
      <c r="AM44" s="215">
        <f ca="1">IF($D44&lt;&gt;"Serviço",0,IF(AND(AUTOEVENTO="Manual",$M44=1),0,IF(OFFSET(CRONOPLE!$F$14,$M44,AM$13)="",10^12,OFFSET(CRONOPLE!$F$14,$M44,AM$13))))</f>
        <v>1</v>
      </c>
      <c r="AN44" s="215">
        <f ca="1">IF($D44&lt;&gt;"Serviço",0,IF(AND(AUTOEVENTO="Manual",$M44=1),0,IF(OFFSET(CRONOPLE!$F$14,$M44,AN$13)="",10^12,OFFSET(CRONOPLE!$F$14,$M44,AN$13))))</f>
        <v>3</v>
      </c>
      <c r="AO44" s="215">
        <f ca="1">IF($D44&lt;&gt;"Serviço",0,IF(AND(AUTOEVENTO="Manual",$M44=1),0,IF(OFFSET(CRONOPLE!$F$14,$M44,AO$13)="",10^12,OFFSET(CRONOPLE!$F$14,$M44,AO$13))))</f>
        <v>1000000000000</v>
      </c>
      <c r="AP44" s="215">
        <f ca="1">IF($D44&lt;&gt;"Serviço",0,IF(AND(AUTOEVENTO="Manual",$M44=1),0,IF(OFFSET(CRONOPLE!$F$14,$M44,AP$13)="",10^12,OFFSET(CRONOPLE!$F$14,$M44,AP$13))))</f>
        <v>1000000000000</v>
      </c>
      <c r="AQ44" s="215">
        <f ca="1">IF($D44&lt;&gt;"Serviço",0,IF(AND(AUTOEVENTO="Manual",$M44=1),0,IF(OFFSET(CRONOPLE!$F$14,$M44,AQ$13)="",10^12,OFFSET(CRONOPLE!$F$14,$M44,AQ$13))))</f>
        <v>1000000000000</v>
      </c>
      <c r="AR44" s="215">
        <f ca="1">IF($D44&lt;&gt;"Serviço",0,IF(AND(AUTOEVENTO="Manual",$M44=1),0,IF(OFFSET(CRONOPLE!$F$14,$M44,AR$13)="",10^12,OFFSET(CRONOPLE!$F$14,$M44,AR$13))))</f>
        <v>1000000000000</v>
      </c>
      <c r="AS44" s="215">
        <f ca="1">IF($D44&lt;&gt;"Serviço",0,IF(AND(AUTOEVENTO="Manual",$M44=1),0,IF(OFFSET(CRONOPLE!$F$14,$M44,AS$13)="",10^12,OFFSET(CRONOPLE!$F$14,$M44,AS$13))))</f>
        <v>1000000000000</v>
      </c>
      <c r="AT44" s="215">
        <f ca="1">IF($D44&lt;&gt;"Serviço",0,IF(AND(AUTOEVENTO="Manual",$M44=1),0,IF(OFFSET(CRONOPLE!$F$14,$M44,AT$13)="",10^12,OFFSET(CRONOPLE!$F$14,$M44,AT$13))))</f>
        <v>1000000000000</v>
      </c>
      <c r="AU44" s="215">
        <f ca="1">IF($D44&lt;&gt;"Serviço",0,IF(AND(AUTOEVENTO="Manual",$M44=1),0,IF(OFFSET(CRONOPLE!$F$14,$M44,AU$13)="",10^12,OFFSET(CRONOPLE!$F$14,$M44,AU$13))))</f>
        <v>1000000000000</v>
      </c>
      <c r="AV44" s="215">
        <f ca="1">IF($D44&lt;&gt;"Serviço",0,IF(AND(AUTOEVENTO="Manual",$M44=1),0,IF(OFFSET(CRONOPLE!$F$14,$M44,AV$13)="",10^12,OFFSET(CRONOPLE!$F$14,$M44,AV$13))))</f>
        <v>1000000000000</v>
      </c>
      <c r="AX44" s="216">
        <f ca="1">IF($D44&lt;&gt;"Serviço",0,IF(OR(AND(AUTOEVENTO="Manual",$M44=1),$M44&gt;(ROW(PLE.lastrow)-ROW(PLE.firstrow))),0,IF(OFFSET(PLE!$G$14,$M44,AX$13)="",10^12,OFFSET(PLE!$G$14,$M44,AX$13))))</f>
        <v>1000000000000</v>
      </c>
      <c r="AY44" s="216">
        <f ca="1">IF($D44&lt;&gt;"Serviço",0,IF(OR(AND(AUTOEVENTO="Manual",$M44=1),$M44&gt;(ROW(PLE.lastrow)-ROW(PLE.firstrow))),0,IF(OFFSET(PLE!$G$14,$M44,AY$13)="",10^12,OFFSET(PLE!$G$14,$M44,AY$13))))</f>
        <v>1000000000000</v>
      </c>
      <c r="AZ44" s="216">
        <f ca="1">IF($D44&lt;&gt;"Serviço",0,IF(OR(AND(AUTOEVENTO="Manual",$M44=1),$M44&gt;(ROW(PLE.lastrow)-ROW(PLE.firstrow))),0,IF(OFFSET(PLE!$G$14,$M44,AZ$13)="",10^12,OFFSET(PLE!$G$14,$M44,AZ$13))))</f>
        <v>1000000000000</v>
      </c>
      <c r="BA44" s="216">
        <f ca="1">IF($D44&lt;&gt;"Serviço",0,IF(OR(AND(AUTOEVENTO="Manual",$M44=1),$M44&gt;(ROW(PLE.lastrow)-ROW(PLE.firstrow))),0,IF(OFFSET(PLE!$G$14,$M44,BA$13)="",10^12,OFFSET(PLE!$G$14,$M44,BA$13))))</f>
        <v>1000000000000</v>
      </c>
      <c r="BB44" s="216">
        <f ca="1">IF($D44&lt;&gt;"Serviço",0,IF(OR(AND(AUTOEVENTO="Manual",$M44=1),$M44&gt;(ROW(PLE.lastrow)-ROW(PLE.firstrow))),0,IF(OFFSET(PLE!$G$14,$M44,BB$13)="",10^12,OFFSET(PLE!$G$14,$M44,BB$13))))</f>
        <v>1000000000000</v>
      </c>
      <c r="BC44" s="216">
        <f ca="1">IF($D44&lt;&gt;"Serviço",0,IF(OR(AND(AUTOEVENTO="Manual",$M44=1),$M44&gt;(ROW(PLE.lastrow)-ROW(PLE.firstrow))),0,IF(OFFSET(PLE!$G$14,$M44,BC$13)="",10^12,OFFSET(PLE!$G$14,$M44,BC$13))))</f>
        <v>1000000000000</v>
      </c>
      <c r="BD44" s="216">
        <f ca="1">IF($D44&lt;&gt;"Serviço",0,IF(OR(AND(AUTOEVENTO="Manual",$M44=1),$M44&gt;(ROW(PLE.lastrow)-ROW(PLE.firstrow))),0,IF(OFFSET(PLE!$G$14,$M44,BD$13)="",10^12,OFFSET(PLE!$G$14,$M44,BD$13))))</f>
        <v>1000000000000</v>
      </c>
      <c r="BE44" s="216">
        <f ca="1">IF($D44&lt;&gt;"Serviço",0,IF(OR(AND(AUTOEVENTO="Manual",$M44=1),$M44&gt;(ROW(PLE.lastrow)-ROW(PLE.firstrow))),0,IF(OFFSET(PLE!$G$14,$M44,BE$13)="",10^12,OFFSET(PLE!$G$14,$M44,BE$13))))</f>
        <v>1000000000000</v>
      </c>
      <c r="BF44" s="216">
        <f ca="1">IF($D44&lt;&gt;"Serviço",0,IF(OR(AND(AUTOEVENTO="Manual",$M44=1),$M44&gt;(ROW(PLE.lastrow)-ROW(PLE.firstrow))),0,IF(OFFSET(PLE!$G$14,$M44,BF$13)="",10^12,OFFSET(PLE!$G$14,$M44,BF$13))))</f>
        <v>1000000000000</v>
      </c>
      <c r="BG44" s="216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x14ac:dyDescent="0.2">
      <c r="A45" s="9" t="str">
        <f t="shared" ca="1" si="8"/>
        <v>27</v>
      </c>
      <c r="B45" s="9" t="str">
        <f ca="1">OFFSET(ORÇAMENTO!C$15,ROW(B45)-ROW(B$15),0)</f>
        <v>S</v>
      </c>
      <c r="C45" s="9" t="str">
        <f ca="1">OFFSET(ORÇAMENTO!L$15,ROW(C45)-ROW(C$15),0)</f>
        <v>F</v>
      </c>
      <c r="D45" s="145" t="str">
        <f ca="1">OFFSET(ORÇAMENTO!N$15,ROW(D45)-ROW(D$15),0)</f>
        <v>Serviço</v>
      </c>
      <c r="E45" s="205" t="str">
        <f ca="1">OFFSET(ORÇAMENTO!O$15,ROW(E45)-ROW(E$15),0)</f>
        <v>1.3.3.</v>
      </c>
      <c r="F45" s="206" t="str">
        <f ca="1">OFFSET(ORÇAMENTO!R$15,ROW(F45)-ROW(F$15),0)</f>
        <v>(abra o arquivo 'Referência 05-2023.xls)</v>
      </c>
      <c r="G45" s="207" t="str">
        <f ca="1">IF($D45&lt;&gt;"Serviço","",OFFSET(ORÇAMENTO!S$15,ROW(G45)-ROW(G$15),0))</f>
        <v>-</v>
      </c>
      <c r="H45" s="151">
        <f ca="1">IF($D45&lt;&gt;"Serviço",0,IF(ACOMPANHAMENTO="BM",ROUND(OFFSET(ORÇAMENTO!AJ$15,ROW(H45)-ROW(H$15),0),15-13*ORÇAMENTO!$AF$7),SUMPRODUCT(($Q$12:$AA$12&lt;&gt;"")*ROUND($Q45:$AA45,15-13*ORÇAMENTO!$AF$7))))</f>
        <v>5.7</v>
      </c>
      <c r="I45" s="611" t="s">
        <v>471</v>
      </c>
      <c r="K45" s="208"/>
      <c r="L45" s="209" t="s">
        <v>254</v>
      </c>
      <c r="M45" s="210">
        <f ca="1">IF($D45&lt;&gt;"Serviço","",IF(AUTOEVENTO="manual",$A45,IF(ISERROR(MATCH($A45,$A$15:OFFSET($A45,-1,0),0)),MAX($M$15:OFFSET(M45,-1,0))+1,INDEX($M$15:OFFSET(M45,-1,0),MATCH($A45,$A$15:OFFSET($A45,-1,0),0)))))</f>
        <v>4</v>
      </c>
      <c r="N45" s="211" t="str">
        <f ca="1">IF($D45&lt;&gt;"Serviço","",IF(AUTOEVENTO="Manual",IF($A45=0,"&lt;-- defina o número do agrupador",OFFSET(EVENTOS!$D$14,$A45,0)),OFFSET($F$15,$A45,0)))</f>
        <v>ALVENARIA</v>
      </c>
      <c r="O45" s="212"/>
      <c r="Q45" s="212">
        <v>5.7</v>
      </c>
      <c r="R45" s="213"/>
      <c r="S45" s="213"/>
      <c r="T45" s="213"/>
      <c r="U45" s="213"/>
      <c r="V45" s="213"/>
      <c r="W45" s="213"/>
      <c r="X45" s="213"/>
      <c r="Y45" s="213"/>
      <c r="Z45" s="214"/>
      <c r="AB45" s="592">
        <f ca="1">IF(AND($D45="Serviço",AB$12&lt;&gt;0,$H45&gt;0,OR(AUTOEVENTO&lt;&gt;"manual",$M45&lt;&gt;1)),ROUND(OFFSET($P45,0,AB$13),15-13*ORÇAMENTO!$AF$7)/$H45*OFFSET(ORÇAMENTO!$X$15,ROW(AB45)-ROW(AB$15),0),0)</f>
        <v>181.77</v>
      </c>
      <c r="AC45" s="593">
        <f ca="1">IF(AND($D45="Serviço",AC$12&lt;&gt;0,$H45&gt;0,OR(AUTOEVENTO&lt;&gt;"manual",$M45&lt;&gt;1)),ROUND(OFFSET($P45,0,AC$13),15-13*ORÇAMENTO!$AF$7)/$H45*OFFSET(ORÇAMENTO!$X$15,ROW(AC45)-ROW(AC$15),0),0)</f>
        <v>0</v>
      </c>
      <c r="AD45" s="593">
        <f ca="1">IF(AND($D45="Serviço",AD$12&lt;&gt;0,$H45&gt;0,OR(AUTOEVENTO&lt;&gt;"manual",$M45&lt;&gt;1)),ROUND(OFFSET($P45,0,AD$13),15-13*ORÇAMENTO!$AF$7)/$H45*OFFSET(ORÇAMENTO!$X$15,ROW(AD45)-ROW(AD$15),0),0)</f>
        <v>0</v>
      </c>
      <c r="AE45" s="593">
        <f ca="1">IF(AND($D45="Serviço",AE$12&lt;&gt;0,$H45&gt;0,OR(AUTOEVENTO&lt;&gt;"manual",$M45&lt;&gt;1)),ROUND(OFFSET($P45,0,AE$13),15-13*ORÇAMENTO!$AF$7)/$H45*OFFSET(ORÇAMENTO!$X$15,ROW(AE45)-ROW(AE$15),0),0)</f>
        <v>0</v>
      </c>
      <c r="AF45" s="593">
        <f ca="1">IF(AND($D45="Serviço",AF$12&lt;&gt;0,$H45&gt;0,OR(AUTOEVENTO&lt;&gt;"manual",$M45&lt;&gt;1)),ROUND(OFFSET($P45,0,AF$13),15-13*ORÇAMENTO!$AF$7)/$H45*OFFSET(ORÇAMENTO!$X$15,ROW(AF45)-ROW(AF$15),0),0)</f>
        <v>0</v>
      </c>
      <c r="AG45" s="593">
        <f ca="1">IF(AND($D45="Serviço",AG$12&lt;&gt;0,$H45&gt;0,OR(AUTOEVENTO&lt;&gt;"manual",$M45&lt;&gt;1)),ROUND(OFFSET($P45,0,AG$13),15-13*ORÇAMENTO!$AF$7)/$H45*OFFSET(ORÇAMENTO!$X$15,ROW(AG45)-ROW(AG$15),0),0)</f>
        <v>0</v>
      </c>
      <c r="AH45" s="593">
        <f ca="1">IF(AND($D45="Serviço",AH$12&lt;&gt;0,$H45&gt;0,OR(AUTOEVENTO&lt;&gt;"manual",$M45&lt;&gt;1)),ROUND(OFFSET($P45,0,AH$13),15-13*ORÇAMENTO!$AF$7)/$H45*OFFSET(ORÇAMENTO!$X$15,ROW(AH45)-ROW(AH$15),0),0)</f>
        <v>0</v>
      </c>
      <c r="AI45" s="593">
        <f ca="1">IF(AND($D45="Serviço",AI$12&lt;&gt;0,$H45&gt;0,OR(AUTOEVENTO&lt;&gt;"manual",$M45&lt;&gt;1)),ROUND(OFFSET($P45,0,AI$13),15-13*ORÇAMENTO!$AF$7)/$H45*OFFSET(ORÇAMENTO!$X$15,ROW(AI45)-ROW(AI$15),0),0)</f>
        <v>0</v>
      </c>
      <c r="AJ45" s="593">
        <f ca="1">IF(AND($D45="Serviço",AJ$12&lt;&gt;0,$H45&gt;0,OR(AUTOEVENTO&lt;&gt;"manual",$M45&lt;&gt;1)),ROUND(OFFSET($P45,0,AJ$13),15-13*ORÇAMENTO!$AF$7)/$H45*OFFSET(ORÇAMENTO!$X$15,ROW(AJ45)-ROW(AJ$15),0),0)</f>
        <v>0</v>
      </c>
      <c r="AK45" s="594">
        <f ca="1">IF(AND($D45="Serviço",AK$12&lt;&gt;0,$H45&gt;0,OR(AUTOEVENTO&lt;&gt;"manual",$M45&lt;&gt;1)),ROUND(OFFSET($P45,0,AK$13),15-13*ORÇAMENTO!$AF$7)/$H45*OFFSET(ORÇAMENTO!$X$15,ROW(AK45)-ROW(AK$15),0),0)</f>
        <v>0</v>
      </c>
      <c r="AM45" s="215">
        <f ca="1">IF($D45&lt;&gt;"Serviço",0,IF(AND(AUTOEVENTO="Manual",$M45=1),0,IF(OFFSET(CRONOPLE!$F$14,$M45,AM$13)="",10^12,OFFSET(CRONOPLE!$F$14,$M45,AM$13))))</f>
        <v>1</v>
      </c>
      <c r="AN45" s="215">
        <f ca="1">IF($D45&lt;&gt;"Serviço",0,IF(AND(AUTOEVENTO="Manual",$M45=1),0,IF(OFFSET(CRONOPLE!$F$14,$M45,AN$13)="",10^12,OFFSET(CRONOPLE!$F$14,$M45,AN$13))))</f>
        <v>3</v>
      </c>
      <c r="AO45" s="215">
        <f ca="1">IF($D45&lt;&gt;"Serviço",0,IF(AND(AUTOEVENTO="Manual",$M45=1),0,IF(OFFSET(CRONOPLE!$F$14,$M45,AO$13)="",10^12,OFFSET(CRONOPLE!$F$14,$M45,AO$13))))</f>
        <v>1000000000000</v>
      </c>
      <c r="AP45" s="215">
        <f ca="1">IF($D45&lt;&gt;"Serviço",0,IF(AND(AUTOEVENTO="Manual",$M45=1),0,IF(OFFSET(CRONOPLE!$F$14,$M45,AP$13)="",10^12,OFFSET(CRONOPLE!$F$14,$M45,AP$13))))</f>
        <v>1000000000000</v>
      </c>
      <c r="AQ45" s="215">
        <f ca="1">IF($D45&lt;&gt;"Serviço",0,IF(AND(AUTOEVENTO="Manual",$M45=1),0,IF(OFFSET(CRONOPLE!$F$14,$M45,AQ$13)="",10^12,OFFSET(CRONOPLE!$F$14,$M45,AQ$13))))</f>
        <v>1000000000000</v>
      </c>
      <c r="AR45" s="215">
        <f ca="1">IF($D45&lt;&gt;"Serviço",0,IF(AND(AUTOEVENTO="Manual",$M45=1),0,IF(OFFSET(CRONOPLE!$F$14,$M45,AR$13)="",10^12,OFFSET(CRONOPLE!$F$14,$M45,AR$13))))</f>
        <v>1000000000000</v>
      </c>
      <c r="AS45" s="215">
        <f ca="1">IF($D45&lt;&gt;"Serviço",0,IF(AND(AUTOEVENTO="Manual",$M45=1),0,IF(OFFSET(CRONOPLE!$F$14,$M45,AS$13)="",10^12,OFFSET(CRONOPLE!$F$14,$M45,AS$13))))</f>
        <v>1000000000000</v>
      </c>
      <c r="AT45" s="215">
        <f ca="1">IF($D45&lt;&gt;"Serviço",0,IF(AND(AUTOEVENTO="Manual",$M45=1),0,IF(OFFSET(CRONOPLE!$F$14,$M45,AT$13)="",10^12,OFFSET(CRONOPLE!$F$14,$M45,AT$13))))</f>
        <v>1000000000000</v>
      </c>
      <c r="AU45" s="215">
        <f ca="1">IF($D45&lt;&gt;"Serviço",0,IF(AND(AUTOEVENTO="Manual",$M45=1),0,IF(OFFSET(CRONOPLE!$F$14,$M45,AU$13)="",10^12,OFFSET(CRONOPLE!$F$14,$M45,AU$13))))</f>
        <v>1000000000000</v>
      </c>
      <c r="AV45" s="215">
        <f ca="1">IF($D45&lt;&gt;"Serviço",0,IF(AND(AUTOEVENTO="Manual",$M45=1),0,IF(OFFSET(CRONOPLE!$F$14,$M45,AV$13)="",10^12,OFFSET(CRONOPLE!$F$14,$M45,AV$13))))</f>
        <v>1000000000000</v>
      </c>
      <c r="AX45" s="216">
        <f ca="1">IF($D45&lt;&gt;"Serviço",0,IF(OR(AND(AUTOEVENTO="Manual",$M45=1),$M45&gt;(ROW(PLE.lastrow)-ROW(PLE.firstrow))),0,IF(OFFSET(PLE!$G$14,$M45,AX$13)="",10^12,OFFSET(PLE!$G$14,$M45,AX$13))))</f>
        <v>1000000000000</v>
      </c>
      <c r="AY45" s="216">
        <f ca="1">IF($D45&lt;&gt;"Serviço",0,IF(OR(AND(AUTOEVENTO="Manual",$M45=1),$M45&gt;(ROW(PLE.lastrow)-ROW(PLE.firstrow))),0,IF(OFFSET(PLE!$G$14,$M45,AY$13)="",10^12,OFFSET(PLE!$G$14,$M45,AY$13))))</f>
        <v>1000000000000</v>
      </c>
      <c r="AZ45" s="216">
        <f ca="1">IF($D45&lt;&gt;"Serviço",0,IF(OR(AND(AUTOEVENTO="Manual",$M45=1),$M45&gt;(ROW(PLE.lastrow)-ROW(PLE.firstrow))),0,IF(OFFSET(PLE!$G$14,$M45,AZ$13)="",10^12,OFFSET(PLE!$G$14,$M45,AZ$13))))</f>
        <v>1000000000000</v>
      </c>
      <c r="BA45" s="216">
        <f ca="1">IF($D45&lt;&gt;"Serviço",0,IF(OR(AND(AUTOEVENTO="Manual",$M45=1),$M45&gt;(ROW(PLE.lastrow)-ROW(PLE.firstrow))),0,IF(OFFSET(PLE!$G$14,$M45,BA$13)="",10^12,OFFSET(PLE!$G$14,$M45,BA$13))))</f>
        <v>1000000000000</v>
      </c>
      <c r="BB45" s="216">
        <f ca="1">IF($D45&lt;&gt;"Serviço",0,IF(OR(AND(AUTOEVENTO="Manual",$M45=1),$M45&gt;(ROW(PLE.lastrow)-ROW(PLE.firstrow))),0,IF(OFFSET(PLE!$G$14,$M45,BB$13)="",10^12,OFFSET(PLE!$G$14,$M45,BB$13))))</f>
        <v>1000000000000</v>
      </c>
      <c r="BC45" s="216">
        <f ca="1">IF($D45&lt;&gt;"Serviço",0,IF(OR(AND(AUTOEVENTO="Manual",$M45=1),$M45&gt;(ROW(PLE.lastrow)-ROW(PLE.firstrow))),0,IF(OFFSET(PLE!$G$14,$M45,BC$13)="",10^12,OFFSET(PLE!$G$14,$M45,BC$13))))</f>
        <v>1000000000000</v>
      </c>
      <c r="BD45" s="216">
        <f ca="1">IF($D45&lt;&gt;"Serviço",0,IF(OR(AND(AUTOEVENTO="Manual",$M45=1),$M45&gt;(ROW(PLE.lastrow)-ROW(PLE.firstrow))),0,IF(OFFSET(PLE!$G$14,$M45,BD$13)="",10^12,OFFSET(PLE!$G$14,$M45,BD$13))))</f>
        <v>1000000000000</v>
      </c>
      <c r="BE45" s="216">
        <f ca="1">IF($D45&lt;&gt;"Serviço",0,IF(OR(AND(AUTOEVENTO="Manual",$M45=1),$M45&gt;(ROW(PLE.lastrow)-ROW(PLE.firstrow))),0,IF(OFFSET(PLE!$G$14,$M45,BE$13)="",10^12,OFFSET(PLE!$G$14,$M45,BE$13))))</f>
        <v>1000000000000</v>
      </c>
      <c r="BF45" s="216">
        <f ca="1">IF($D45&lt;&gt;"Serviço",0,IF(OR(AND(AUTOEVENTO="Manual",$M45=1),$M45&gt;(ROW(PLE.lastrow)-ROW(PLE.firstrow))),0,IF(OFFSET(PLE!$G$14,$M45,BF$13)="",10^12,OFFSET(PLE!$G$14,$M45,BF$13))))</f>
        <v>1000000000000</v>
      </c>
      <c r="BG45" s="216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x14ac:dyDescent="0.2">
      <c r="A46" s="9" t="str">
        <f t="shared" ca="1" si="8"/>
        <v>27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5" t="str">
        <f ca="1">OFFSET(ORÇAMENTO!N$15,ROW(D46)-ROW(D$15),0)</f>
        <v>Serviço</v>
      </c>
      <c r="E46" s="205" t="str">
        <f ca="1">OFFSET(ORÇAMENTO!O$15,ROW(E46)-ROW(E$15),0)</f>
        <v>-</v>
      </c>
      <c r="F46" s="206" t="str">
        <f ca="1">OFFSET(ORÇAMENTO!R$15,ROW(F46)-ROW(F$15),0)</f>
        <v>(abra o arquivo 'Referência 05-2023.xls)</v>
      </c>
      <c r="G46" s="207" t="str">
        <f ca="1">IF($D46&lt;&gt;"Serviço","",OFFSET(ORÇAMENTO!S$15,ROW(G46)-ROW(G$15),0))</f>
        <v>-</v>
      </c>
      <c r="H46" s="151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1"/>
      <c r="K46" s="208"/>
      <c r="L46" s="209" t="s">
        <v>254</v>
      </c>
      <c r="M46" s="210">
        <f ca="1">IF($D46&lt;&gt;"Serviço","",IF(AUTOEVENTO="manual",$A46,IF(ISERROR(MATCH($A46,$A$15:OFFSET($A46,-1,0),0)),MAX($M$15:OFFSET(M46,-1,0))+1,INDEX($M$15:OFFSET(M46,-1,0),MATCH($A46,$A$15:OFFSET($A46,-1,0),0)))))</f>
        <v>4</v>
      </c>
      <c r="N46" s="211" t="str">
        <f ca="1">IF($D46&lt;&gt;"Serviço","",IF(AUTOEVENTO="Manual",IF($A46=0,"&lt;-- defina o número do agrupador",OFFSET(EVENTOS!$D$14,$A46,0)),OFFSET($F$15,$A46,0)))</f>
        <v>ALVENARIA</v>
      </c>
      <c r="O46" s="212"/>
      <c r="Q46" s="212">
        <v>135</v>
      </c>
      <c r="R46" s="213"/>
      <c r="S46" s="213"/>
      <c r="T46" s="213"/>
      <c r="U46" s="213"/>
      <c r="V46" s="213"/>
      <c r="W46" s="213"/>
      <c r="X46" s="213"/>
      <c r="Y46" s="213"/>
      <c r="Z46" s="214"/>
      <c r="AB46" s="592">
        <f ca="1">IF(AND($D46="Serviço",AB$12&lt;&gt;0,$H46&gt;0,OR(AUTOEVENTO&lt;&gt;"manual",$M46&lt;&gt;1)),ROUND(OFFSET($P46,0,AB$13),15-13*ORÇAMENTO!$AF$7)/$H46*OFFSET(ORÇAMENTO!$X$15,ROW(AB46)-ROW(AB$15),0),0)</f>
        <v>0</v>
      </c>
      <c r="AC46" s="593">
        <f ca="1">IF(AND($D46="Serviço",AC$12&lt;&gt;0,$H46&gt;0,OR(AUTOEVENTO&lt;&gt;"manual",$M46&lt;&gt;1)),ROUND(OFFSET($P46,0,AC$13),15-13*ORÇAMENTO!$AF$7)/$H46*OFFSET(ORÇAMENTO!$X$15,ROW(AC46)-ROW(AC$15),0),0)</f>
        <v>0</v>
      </c>
      <c r="AD46" s="593">
        <f ca="1">IF(AND($D46="Serviço",AD$12&lt;&gt;0,$H46&gt;0,OR(AUTOEVENTO&lt;&gt;"manual",$M46&lt;&gt;1)),ROUND(OFFSET($P46,0,AD$13),15-13*ORÇAMENTO!$AF$7)/$H46*OFFSET(ORÇAMENTO!$X$15,ROW(AD46)-ROW(AD$15),0),0)</f>
        <v>0</v>
      </c>
      <c r="AE46" s="593">
        <f ca="1">IF(AND($D46="Serviço",AE$12&lt;&gt;0,$H46&gt;0,OR(AUTOEVENTO&lt;&gt;"manual",$M46&lt;&gt;1)),ROUND(OFFSET($P46,0,AE$13),15-13*ORÇAMENTO!$AF$7)/$H46*OFFSET(ORÇAMENTO!$X$15,ROW(AE46)-ROW(AE$15),0),0)</f>
        <v>0</v>
      </c>
      <c r="AF46" s="593">
        <f ca="1">IF(AND($D46="Serviço",AF$12&lt;&gt;0,$H46&gt;0,OR(AUTOEVENTO&lt;&gt;"manual",$M46&lt;&gt;1)),ROUND(OFFSET($P46,0,AF$13),15-13*ORÇAMENTO!$AF$7)/$H46*OFFSET(ORÇAMENTO!$X$15,ROW(AF46)-ROW(AF$15),0),0)</f>
        <v>0</v>
      </c>
      <c r="AG46" s="593">
        <f ca="1">IF(AND($D46="Serviço",AG$12&lt;&gt;0,$H46&gt;0,OR(AUTOEVENTO&lt;&gt;"manual",$M46&lt;&gt;1)),ROUND(OFFSET($P46,0,AG$13),15-13*ORÇAMENTO!$AF$7)/$H46*OFFSET(ORÇAMENTO!$X$15,ROW(AG46)-ROW(AG$15),0),0)</f>
        <v>0</v>
      </c>
      <c r="AH46" s="593">
        <f ca="1">IF(AND($D46="Serviço",AH$12&lt;&gt;0,$H46&gt;0,OR(AUTOEVENTO&lt;&gt;"manual",$M46&lt;&gt;1)),ROUND(OFFSET($P46,0,AH$13),15-13*ORÇAMENTO!$AF$7)/$H46*OFFSET(ORÇAMENTO!$X$15,ROW(AH46)-ROW(AH$15),0),0)</f>
        <v>0</v>
      </c>
      <c r="AI46" s="593">
        <f ca="1">IF(AND($D46="Serviço",AI$12&lt;&gt;0,$H46&gt;0,OR(AUTOEVENTO&lt;&gt;"manual",$M46&lt;&gt;1)),ROUND(OFFSET($P46,0,AI$13),15-13*ORÇAMENTO!$AF$7)/$H46*OFFSET(ORÇAMENTO!$X$15,ROW(AI46)-ROW(AI$15),0),0)</f>
        <v>0</v>
      </c>
      <c r="AJ46" s="593">
        <f ca="1">IF(AND($D46="Serviço",AJ$12&lt;&gt;0,$H46&gt;0,OR(AUTOEVENTO&lt;&gt;"manual",$M46&lt;&gt;1)),ROUND(OFFSET($P46,0,AJ$13),15-13*ORÇAMENTO!$AF$7)/$H46*OFFSET(ORÇAMENTO!$X$15,ROW(AJ46)-ROW(AJ$15),0),0)</f>
        <v>0</v>
      </c>
      <c r="AK46" s="594">
        <f ca="1">IF(AND($D46="Serviço",AK$12&lt;&gt;0,$H46&gt;0,OR(AUTOEVENTO&lt;&gt;"manual",$M46&lt;&gt;1)),ROUND(OFFSET($P46,0,AK$13),15-13*ORÇAMENTO!$AF$7)/$H46*OFFSET(ORÇAMENTO!$X$15,ROW(AK46)-ROW(AK$15),0),0)</f>
        <v>0</v>
      </c>
      <c r="AM46" s="215">
        <f ca="1">IF($D46&lt;&gt;"Serviço",0,IF(AND(AUTOEVENTO="Manual",$M46=1),0,IF(OFFSET(CRONOPLE!$F$14,$M46,AM$13)="",10^12,OFFSET(CRONOPLE!$F$14,$M46,AM$13))))</f>
        <v>1</v>
      </c>
      <c r="AN46" s="215">
        <f ca="1">IF($D46&lt;&gt;"Serviço",0,IF(AND(AUTOEVENTO="Manual",$M46=1),0,IF(OFFSET(CRONOPLE!$F$14,$M46,AN$13)="",10^12,OFFSET(CRONOPLE!$F$14,$M46,AN$13))))</f>
        <v>3</v>
      </c>
      <c r="AO46" s="215">
        <f ca="1">IF($D46&lt;&gt;"Serviço",0,IF(AND(AUTOEVENTO="Manual",$M46=1),0,IF(OFFSET(CRONOPLE!$F$14,$M46,AO$13)="",10^12,OFFSET(CRONOPLE!$F$14,$M46,AO$13))))</f>
        <v>1000000000000</v>
      </c>
      <c r="AP46" s="215">
        <f ca="1">IF($D46&lt;&gt;"Serviço",0,IF(AND(AUTOEVENTO="Manual",$M46=1),0,IF(OFFSET(CRONOPLE!$F$14,$M46,AP$13)="",10^12,OFFSET(CRONOPLE!$F$14,$M46,AP$13))))</f>
        <v>1000000000000</v>
      </c>
      <c r="AQ46" s="215">
        <f ca="1">IF($D46&lt;&gt;"Serviço",0,IF(AND(AUTOEVENTO="Manual",$M46=1),0,IF(OFFSET(CRONOPLE!$F$14,$M46,AQ$13)="",10^12,OFFSET(CRONOPLE!$F$14,$M46,AQ$13))))</f>
        <v>1000000000000</v>
      </c>
      <c r="AR46" s="215">
        <f ca="1">IF($D46&lt;&gt;"Serviço",0,IF(AND(AUTOEVENTO="Manual",$M46=1),0,IF(OFFSET(CRONOPLE!$F$14,$M46,AR$13)="",10^12,OFFSET(CRONOPLE!$F$14,$M46,AR$13))))</f>
        <v>1000000000000</v>
      </c>
      <c r="AS46" s="215">
        <f ca="1">IF($D46&lt;&gt;"Serviço",0,IF(AND(AUTOEVENTO="Manual",$M46=1),0,IF(OFFSET(CRONOPLE!$F$14,$M46,AS$13)="",10^12,OFFSET(CRONOPLE!$F$14,$M46,AS$13))))</f>
        <v>1000000000000</v>
      </c>
      <c r="AT46" s="215">
        <f ca="1">IF($D46&lt;&gt;"Serviço",0,IF(AND(AUTOEVENTO="Manual",$M46=1),0,IF(OFFSET(CRONOPLE!$F$14,$M46,AT$13)="",10^12,OFFSET(CRONOPLE!$F$14,$M46,AT$13))))</f>
        <v>1000000000000</v>
      </c>
      <c r="AU46" s="215">
        <f ca="1">IF($D46&lt;&gt;"Serviço",0,IF(AND(AUTOEVENTO="Manual",$M46=1),0,IF(OFFSET(CRONOPLE!$F$14,$M46,AU$13)="",10^12,OFFSET(CRONOPLE!$F$14,$M46,AU$13))))</f>
        <v>1000000000000</v>
      </c>
      <c r="AV46" s="215">
        <f ca="1">IF($D46&lt;&gt;"Serviço",0,IF(AND(AUTOEVENTO="Manual",$M46=1),0,IF(OFFSET(CRONOPLE!$F$14,$M46,AV$13)="",10^12,OFFSET(CRONOPLE!$F$14,$M46,AV$13))))</f>
        <v>1000000000000</v>
      </c>
      <c r="AX46" s="216">
        <f ca="1">IF($D46&lt;&gt;"Serviço",0,IF(OR(AND(AUTOEVENTO="Manual",$M46=1),$M46&gt;(ROW(PLE.lastrow)-ROW(PLE.firstrow))),0,IF(OFFSET(PLE!$G$14,$M46,AX$13)="",10^12,OFFSET(PLE!$G$14,$M46,AX$13))))</f>
        <v>1000000000000</v>
      </c>
      <c r="AY46" s="216">
        <f ca="1">IF($D46&lt;&gt;"Serviço",0,IF(OR(AND(AUTOEVENTO="Manual",$M46=1),$M46&gt;(ROW(PLE.lastrow)-ROW(PLE.firstrow))),0,IF(OFFSET(PLE!$G$14,$M46,AY$13)="",10^12,OFFSET(PLE!$G$14,$M46,AY$13))))</f>
        <v>1000000000000</v>
      </c>
      <c r="AZ46" s="216">
        <f ca="1">IF($D46&lt;&gt;"Serviço",0,IF(OR(AND(AUTOEVENTO="Manual",$M46=1),$M46&gt;(ROW(PLE.lastrow)-ROW(PLE.firstrow))),0,IF(OFFSET(PLE!$G$14,$M46,AZ$13)="",10^12,OFFSET(PLE!$G$14,$M46,AZ$13))))</f>
        <v>1000000000000</v>
      </c>
      <c r="BA46" s="216">
        <f ca="1">IF($D46&lt;&gt;"Serviço",0,IF(OR(AND(AUTOEVENTO="Manual",$M46=1),$M46&gt;(ROW(PLE.lastrow)-ROW(PLE.firstrow))),0,IF(OFFSET(PLE!$G$14,$M46,BA$13)="",10^12,OFFSET(PLE!$G$14,$M46,BA$13))))</f>
        <v>1000000000000</v>
      </c>
      <c r="BB46" s="216">
        <f ca="1">IF($D46&lt;&gt;"Serviço",0,IF(OR(AND(AUTOEVENTO="Manual",$M46=1),$M46&gt;(ROW(PLE.lastrow)-ROW(PLE.firstrow))),0,IF(OFFSET(PLE!$G$14,$M46,BB$13)="",10^12,OFFSET(PLE!$G$14,$M46,BB$13))))</f>
        <v>1000000000000</v>
      </c>
      <c r="BC46" s="216">
        <f ca="1">IF($D46&lt;&gt;"Serviço",0,IF(OR(AND(AUTOEVENTO="Manual",$M46=1),$M46&gt;(ROW(PLE.lastrow)-ROW(PLE.firstrow))),0,IF(OFFSET(PLE!$G$14,$M46,BC$13)="",10^12,OFFSET(PLE!$G$14,$M46,BC$13))))</f>
        <v>1000000000000</v>
      </c>
      <c r="BD46" s="216">
        <f ca="1">IF($D46&lt;&gt;"Serviço",0,IF(OR(AND(AUTOEVENTO="Manual",$M46=1),$M46&gt;(ROW(PLE.lastrow)-ROW(PLE.firstrow))),0,IF(OFFSET(PLE!$G$14,$M46,BD$13)="",10^12,OFFSET(PLE!$G$14,$M46,BD$13))))</f>
        <v>1000000000000</v>
      </c>
      <c r="BE46" s="216">
        <f ca="1">IF($D46&lt;&gt;"Serviço",0,IF(OR(AND(AUTOEVENTO="Manual",$M46=1),$M46&gt;(ROW(PLE.lastrow)-ROW(PLE.firstrow))),0,IF(OFFSET(PLE!$G$14,$M46,BE$13)="",10^12,OFFSET(PLE!$G$14,$M46,BE$13))))</f>
        <v>1000000000000</v>
      </c>
      <c r="BF46" s="216">
        <f ca="1">IF($D46&lt;&gt;"Serviço",0,IF(OR(AND(AUTOEVENTO="Manual",$M46=1),$M46&gt;(ROW(PLE.lastrow)-ROW(PLE.firstrow))),0,IF(OFFSET(PLE!$G$14,$M46,BF$13)="",10^12,OFFSET(PLE!$G$14,$M46,BF$13))))</f>
        <v>1000000000000</v>
      </c>
      <c r="BG46" s="216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27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5" t="str">
        <f ca="1">OFFSET(ORÇAMENTO!N$15,ROW(D47)-ROW(D$15),0)</f>
        <v>Serviço</v>
      </c>
      <c r="E47" s="205" t="str">
        <f ca="1">OFFSET(ORÇAMENTO!O$15,ROW(E47)-ROW(E$15),0)</f>
        <v>-</v>
      </c>
      <c r="F47" s="206" t="str">
        <f ca="1">OFFSET(ORÇAMENTO!R$15,ROW(F47)-ROW(F$15),0)</f>
        <v>(abra o arquivo 'Referência 05-2023.xls)</v>
      </c>
      <c r="G47" s="207" t="str">
        <f ca="1">IF($D47&lt;&gt;"Serviço","",OFFSET(ORÇAMENTO!S$15,ROW(G47)-ROW(G$15),0))</f>
        <v>-</v>
      </c>
      <c r="H47" s="151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1"/>
      <c r="K47" s="208"/>
      <c r="L47" s="209" t="s">
        <v>254</v>
      </c>
      <c r="M47" s="210">
        <f ca="1">IF($D47&lt;&gt;"Serviço","",IF(AUTOEVENTO="manual",$A47,IF(ISERROR(MATCH($A47,$A$15:OFFSET($A47,-1,0),0)),MAX($M$15:OFFSET(M47,-1,0))+1,INDEX($M$15:OFFSET(M47,-1,0),MATCH($A47,$A$15:OFFSET($A47,-1,0),0)))))</f>
        <v>4</v>
      </c>
      <c r="N47" s="211" t="str">
        <f ca="1">IF($D47&lt;&gt;"Serviço","",IF(AUTOEVENTO="Manual",IF($A47=0,"&lt;-- defina o número do agrupador",OFFSET(EVENTOS!$D$14,$A47,0)),OFFSET($F$15,$A47,0)))</f>
        <v>ALVENARIA</v>
      </c>
      <c r="O47" s="212"/>
      <c r="Q47" s="212">
        <v>100</v>
      </c>
      <c r="R47" s="213"/>
      <c r="S47" s="213"/>
      <c r="T47" s="213"/>
      <c r="U47" s="213"/>
      <c r="V47" s="213"/>
      <c r="W47" s="213"/>
      <c r="X47" s="213"/>
      <c r="Y47" s="213"/>
      <c r="Z47" s="214"/>
      <c r="AB47" s="592">
        <f ca="1">IF(AND($D47="Serviço",AB$12&lt;&gt;0,$H47&gt;0,OR(AUTOEVENTO&lt;&gt;"manual",$M47&lt;&gt;1)),ROUND(OFFSET($P47,0,AB$13),15-13*ORÇAMENTO!$AF$7)/$H47*OFFSET(ORÇAMENTO!$X$15,ROW(AB47)-ROW(AB$15),0),0)</f>
        <v>0</v>
      </c>
      <c r="AC47" s="593">
        <f ca="1">IF(AND($D47="Serviço",AC$12&lt;&gt;0,$H47&gt;0,OR(AUTOEVENTO&lt;&gt;"manual",$M47&lt;&gt;1)),ROUND(OFFSET($P47,0,AC$13),15-13*ORÇAMENTO!$AF$7)/$H47*OFFSET(ORÇAMENTO!$X$15,ROW(AC47)-ROW(AC$15),0),0)</f>
        <v>0</v>
      </c>
      <c r="AD47" s="593">
        <f ca="1">IF(AND($D47="Serviço",AD$12&lt;&gt;0,$H47&gt;0,OR(AUTOEVENTO&lt;&gt;"manual",$M47&lt;&gt;1)),ROUND(OFFSET($P47,0,AD$13),15-13*ORÇAMENTO!$AF$7)/$H47*OFFSET(ORÇAMENTO!$X$15,ROW(AD47)-ROW(AD$15),0),0)</f>
        <v>0</v>
      </c>
      <c r="AE47" s="593">
        <f ca="1">IF(AND($D47="Serviço",AE$12&lt;&gt;0,$H47&gt;0,OR(AUTOEVENTO&lt;&gt;"manual",$M47&lt;&gt;1)),ROUND(OFFSET($P47,0,AE$13),15-13*ORÇAMENTO!$AF$7)/$H47*OFFSET(ORÇAMENTO!$X$15,ROW(AE47)-ROW(AE$15),0),0)</f>
        <v>0</v>
      </c>
      <c r="AF47" s="593">
        <f ca="1">IF(AND($D47="Serviço",AF$12&lt;&gt;0,$H47&gt;0,OR(AUTOEVENTO&lt;&gt;"manual",$M47&lt;&gt;1)),ROUND(OFFSET($P47,0,AF$13),15-13*ORÇAMENTO!$AF$7)/$H47*OFFSET(ORÇAMENTO!$X$15,ROW(AF47)-ROW(AF$15),0),0)</f>
        <v>0</v>
      </c>
      <c r="AG47" s="593">
        <f ca="1">IF(AND($D47="Serviço",AG$12&lt;&gt;0,$H47&gt;0,OR(AUTOEVENTO&lt;&gt;"manual",$M47&lt;&gt;1)),ROUND(OFFSET($P47,0,AG$13),15-13*ORÇAMENTO!$AF$7)/$H47*OFFSET(ORÇAMENTO!$X$15,ROW(AG47)-ROW(AG$15),0),0)</f>
        <v>0</v>
      </c>
      <c r="AH47" s="593">
        <f ca="1">IF(AND($D47="Serviço",AH$12&lt;&gt;0,$H47&gt;0,OR(AUTOEVENTO&lt;&gt;"manual",$M47&lt;&gt;1)),ROUND(OFFSET($P47,0,AH$13),15-13*ORÇAMENTO!$AF$7)/$H47*OFFSET(ORÇAMENTO!$X$15,ROW(AH47)-ROW(AH$15),0),0)</f>
        <v>0</v>
      </c>
      <c r="AI47" s="593">
        <f ca="1">IF(AND($D47="Serviço",AI$12&lt;&gt;0,$H47&gt;0,OR(AUTOEVENTO&lt;&gt;"manual",$M47&lt;&gt;1)),ROUND(OFFSET($P47,0,AI$13),15-13*ORÇAMENTO!$AF$7)/$H47*OFFSET(ORÇAMENTO!$X$15,ROW(AI47)-ROW(AI$15),0),0)</f>
        <v>0</v>
      </c>
      <c r="AJ47" s="593">
        <f ca="1">IF(AND($D47="Serviço",AJ$12&lt;&gt;0,$H47&gt;0,OR(AUTOEVENTO&lt;&gt;"manual",$M47&lt;&gt;1)),ROUND(OFFSET($P47,0,AJ$13),15-13*ORÇAMENTO!$AF$7)/$H47*OFFSET(ORÇAMENTO!$X$15,ROW(AJ47)-ROW(AJ$15),0),0)</f>
        <v>0</v>
      </c>
      <c r="AK47" s="594">
        <f ca="1">IF(AND($D47="Serviço",AK$12&lt;&gt;0,$H47&gt;0,OR(AUTOEVENTO&lt;&gt;"manual",$M47&lt;&gt;1)),ROUND(OFFSET($P47,0,AK$13),15-13*ORÇAMENTO!$AF$7)/$H47*OFFSET(ORÇAMENTO!$X$15,ROW(AK47)-ROW(AK$15),0),0)</f>
        <v>0</v>
      </c>
      <c r="AM47" s="215">
        <f ca="1">IF($D47&lt;&gt;"Serviço",0,IF(AND(AUTOEVENTO="Manual",$M47=1),0,IF(OFFSET(CRONOPLE!$F$14,$M47,AM$13)="",10^12,OFFSET(CRONOPLE!$F$14,$M47,AM$13))))</f>
        <v>1</v>
      </c>
      <c r="AN47" s="215">
        <f ca="1">IF($D47&lt;&gt;"Serviço",0,IF(AND(AUTOEVENTO="Manual",$M47=1),0,IF(OFFSET(CRONOPLE!$F$14,$M47,AN$13)="",10^12,OFFSET(CRONOPLE!$F$14,$M47,AN$13))))</f>
        <v>3</v>
      </c>
      <c r="AO47" s="215">
        <f ca="1">IF($D47&lt;&gt;"Serviço",0,IF(AND(AUTOEVENTO="Manual",$M47=1),0,IF(OFFSET(CRONOPLE!$F$14,$M47,AO$13)="",10^12,OFFSET(CRONOPLE!$F$14,$M47,AO$13))))</f>
        <v>1000000000000</v>
      </c>
      <c r="AP47" s="215">
        <f ca="1">IF($D47&lt;&gt;"Serviço",0,IF(AND(AUTOEVENTO="Manual",$M47=1),0,IF(OFFSET(CRONOPLE!$F$14,$M47,AP$13)="",10^12,OFFSET(CRONOPLE!$F$14,$M47,AP$13))))</f>
        <v>1000000000000</v>
      </c>
      <c r="AQ47" s="215">
        <f ca="1">IF($D47&lt;&gt;"Serviço",0,IF(AND(AUTOEVENTO="Manual",$M47=1),0,IF(OFFSET(CRONOPLE!$F$14,$M47,AQ$13)="",10^12,OFFSET(CRONOPLE!$F$14,$M47,AQ$13))))</f>
        <v>1000000000000</v>
      </c>
      <c r="AR47" s="215">
        <f ca="1">IF($D47&lt;&gt;"Serviço",0,IF(AND(AUTOEVENTO="Manual",$M47=1),0,IF(OFFSET(CRONOPLE!$F$14,$M47,AR$13)="",10^12,OFFSET(CRONOPLE!$F$14,$M47,AR$13))))</f>
        <v>1000000000000</v>
      </c>
      <c r="AS47" s="215">
        <f ca="1">IF($D47&lt;&gt;"Serviço",0,IF(AND(AUTOEVENTO="Manual",$M47=1),0,IF(OFFSET(CRONOPLE!$F$14,$M47,AS$13)="",10^12,OFFSET(CRONOPLE!$F$14,$M47,AS$13))))</f>
        <v>1000000000000</v>
      </c>
      <c r="AT47" s="215">
        <f ca="1">IF($D47&lt;&gt;"Serviço",0,IF(AND(AUTOEVENTO="Manual",$M47=1),0,IF(OFFSET(CRONOPLE!$F$14,$M47,AT$13)="",10^12,OFFSET(CRONOPLE!$F$14,$M47,AT$13))))</f>
        <v>1000000000000</v>
      </c>
      <c r="AU47" s="215">
        <f ca="1">IF($D47&lt;&gt;"Serviço",0,IF(AND(AUTOEVENTO="Manual",$M47=1),0,IF(OFFSET(CRONOPLE!$F$14,$M47,AU$13)="",10^12,OFFSET(CRONOPLE!$F$14,$M47,AU$13))))</f>
        <v>1000000000000</v>
      </c>
      <c r="AV47" s="215">
        <f ca="1">IF($D47&lt;&gt;"Serviço",0,IF(AND(AUTOEVENTO="Manual",$M47=1),0,IF(OFFSET(CRONOPLE!$F$14,$M47,AV$13)="",10^12,OFFSET(CRONOPLE!$F$14,$M47,AV$13))))</f>
        <v>1000000000000</v>
      </c>
      <c r="AX47" s="216">
        <f ca="1">IF($D47&lt;&gt;"Serviço",0,IF(OR(AND(AUTOEVENTO="Manual",$M47=1),$M47&gt;(ROW(PLE.lastrow)-ROW(PLE.firstrow))),0,IF(OFFSET(PLE!$G$14,$M47,AX$13)="",10^12,OFFSET(PLE!$G$14,$M47,AX$13))))</f>
        <v>1000000000000</v>
      </c>
      <c r="AY47" s="216">
        <f ca="1">IF($D47&lt;&gt;"Serviço",0,IF(OR(AND(AUTOEVENTO="Manual",$M47=1),$M47&gt;(ROW(PLE.lastrow)-ROW(PLE.firstrow))),0,IF(OFFSET(PLE!$G$14,$M47,AY$13)="",10^12,OFFSET(PLE!$G$14,$M47,AY$13))))</f>
        <v>1000000000000</v>
      </c>
      <c r="AZ47" s="216">
        <f ca="1">IF($D47&lt;&gt;"Serviço",0,IF(OR(AND(AUTOEVENTO="Manual",$M47=1),$M47&gt;(ROW(PLE.lastrow)-ROW(PLE.firstrow))),0,IF(OFFSET(PLE!$G$14,$M47,AZ$13)="",10^12,OFFSET(PLE!$G$14,$M47,AZ$13))))</f>
        <v>1000000000000</v>
      </c>
      <c r="BA47" s="216">
        <f ca="1">IF($D47&lt;&gt;"Serviço",0,IF(OR(AND(AUTOEVENTO="Manual",$M47=1),$M47&gt;(ROW(PLE.lastrow)-ROW(PLE.firstrow))),0,IF(OFFSET(PLE!$G$14,$M47,BA$13)="",10^12,OFFSET(PLE!$G$14,$M47,BA$13))))</f>
        <v>1000000000000</v>
      </c>
      <c r="BB47" s="216">
        <f ca="1">IF($D47&lt;&gt;"Serviço",0,IF(OR(AND(AUTOEVENTO="Manual",$M47=1),$M47&gt;(ROW(PLE.lastrow)-ROW(PLE.firstrow))),0,IF(OFFSET(PLE!$G$14,$M47,BB$13)="",10^12,OFFSET(PLE!$G$14,$M47,BB$13))))</f>
        <v>1000000000000</v>
      </c>
      <c r="BC47" s="216">
        <f ca="1">IF($D47&lt;&gt;"Serviço",0,IF(OR(AND(AUTOEVENTO="Manual",$M47=1),$M47&gt;(ROW(PLE.lastrow)-ROW(PLE.firstrow))),0,IF(OFFSET(PLE!$G$14,$M47,BC$13)="",10^12,OFFSET(PLE!$G$14,$M47,BC$13))))</f>
        <v>1000000000000</v>
      </c>
      <c r="BD47" s="216">
        <f ca="1">IF($D47&lt;&gt;"Serviço",0,IF(OR(AND(AUTOEVENTO="Manual",$M47=1),$M47&gt;(ROW(PLE.lastrow)-ROW(PLE.firstrow))),0,IF(OFFSET(PLE!$G$14,$M47,BD$13)="",10^12,OFFSET(PLE!$G$14,$M47,BD$13))))</f>
        <v>1000000000000</v>
      </c>
      <c r="BE47" s="216">
        <f ca="1">IF($D47&lt;&gt;"Serviço",0,IF(OR(AND(AUTOEVENTO="Manual",$M47=1),$M47&gt;(ROW(PLE.lastrow)-ROW(PLE.firstrow))),0,IF(OFFSET(PLE!$G$14,$M47,BE$13)="",10^12,OFFSET(PLE!$G$14,$M47,BE$13))))</f>
        <v>1000000000000</v>
      </c>
      <c r="BF47" s="216">
        <f ca="1">IF($D47&lt;&gt;"Serviço",0,IF(OR(AND(AUTOEVENTO="Manual",$M47=1),$M47&gt;(ROW(PLE.lastrow)-ROW(PLE.firstrow))),0,IF(OFFSET(PLE!$G$14,$M47,BF$13)="",10^12,OFFSET(PLE!$G$14,$M47,BF$13))))</f>
        <v>1000000000000</v>
      </c>
      <c r="BG47" s="216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9" t="str">
        <f t="shared" ca="1" si="8"/>
        <v>27</v>
      </c>
      <c r="B48" s="9" t="str">
        <f ca="1">OFFSET(ORÇAMENTO!C$15,ROW(B48)-ROW(B$15),0)</f>
        <v>S</v>
      </c>
      <c r="C48" s="9" t="str">
        <f ca="1">OFFSET(ORÇAMENTO!L$15,ROW(C48)-ROW(C$15),0)</f>
        <v>F</v>
      </c>
      <c r="D48" s="145" t="str">
        <f ca="1">OFFSET(ORÇAMENTO!N$15,ROW(D48)-ROW(D$15),0)</f>
        <v>Serviço</v>
      </c>
      <c r="E48" s="205" t="str">
        <f ca="1">OFFSET(ORÇAMENTO!O$15,ROW(E48)-ROW(E$15),0)</f>
        <v>1.3.4.</v>
      </c>
      <c r="F48" s="206" t="str">
        <f ca="1">OFFSET(ORÇAMENTO!R$15,ROW(F48)-ROW(F$15),0)</f>
        <v>(abra o arquivo 'Referência 05-2023.xls)</v>
      </c>
      <c r="G48" s="207" t="str">
        <f ca="1">IF($D48&lt;&gt;"Serviço","",OFFSET(ORÇAMENTO!S$15,ROW(G48)-ROW(G$15),0))</f>
        <v>-</v>
      </c>
      <c r="H48" s="151">
        <f ca="1">IF($D48&lt;&gt;"Serviço",0,IF(ACOMPANHAMENTO="BM",ROUND(OFFSET(ORÇAMENTO!AJ$15,ROW(H48)-ROW(H$15),0),15-13*ORÇAMENTO!$AF$7),SUMPRODUCT(($Q$12:$AA$12&lt;&gt;"")*ROUND($Q48:$AA48,15-13*ORÇAMENTO!$AF$7))))</f>
        <v>6</v>
      </c>
      <c r="I48" s="611"/>
      <c r="K48" s="208"/>
      <c r="L48" s="209" t="s">
        <v>254</v>
      </c>
      <c r="M48" s="210">
        <f ca="1">IF($D48&lt;&gt;"Serviço","",IF(AUTOEVENTO="manual",$A48,IF(ISERROR(MATCH($A48,$A$15:OFFSET($A48,-1,0),0)),MAX($M$15:OFFSET(M48,-1,0))+1,INDEX($M$15:OFFSET(M48,-1,0),MATCH($A48,$A$15:OFFSET($A48,-1,0),0)))))</f>
        <v>4</v>
      </c>
      <c r="N48" s="211" t="str">
        <f ca="1">IF($D48&lt;&gt;"Serviço","",IF(AUTOEVENTO="Manual",IF($A48=0,"&lt;-- defina o número do agrupador",OFFSET(EVENTOS!$D$14,$A48,0)),OFFSET($F$15,$A48,0)))</f>
        <v>ALVENARIA</v>
      </c>
      <c r="O48" s="212"/>
      <c r="Q48" s="212">
        <v>25.2</v>
      </c>
      <c r="R48" s="213"/>
      <c r="S48" s="213"/>
      <c r="T48" s="213"/>
      <c r="U48" s="213"/>
      <c r="V48" s="213"/>
      <c r="W48" s="213"/>
      <c r="X48" s="213"/>
      <c r="Y48" s="213"/>
      <c r="Z48" s="214"/>
      <c r="AB48" s="592">
        <f ca="1">IF(AND($D48="Serviço",AB$12&lt;&gt;0,$H48&gt;0,OR(AUTOEVENTO&lt;&gt;"manual",$M48&lt;&gt;1)),ROUND(OFFSET($P48,0,AB$13),15-13*ORÇAMENTO!$AF$7)/$H48*OFFSET(ORÇAMENTO!$X$15,ROW(AB48)-ROW(AB$15),0),0)</f>
        <v>3456.4320000000002</v>
      </c>
      <c r="AC48" s="593">
        <f ca="1">IF(AND($D48="Serviço",AC$12&lt;&gt;0,$H48&gt;0,OR(AUTOEVENTO&lt;&gt;"manual",$M48&lt;&gt;1)),ROUND(OFFSET($P48,0,AC$13),15-13*ORÇAMENTO!$AF$7)/$H48*OFFSET(ORÇAMENTO!$X$15,ROW(AC48)-ROW(AC$15),0),0)</f>
        <v>0</v>
      </c>
      <c r="AD48" s="593">
        <f ca="1">IF(AND($D48="Serviço",AD$12&lt;&gt;0,$H48&gt;0,OR(AUTOEVENTO&lt;&gt;"manual",$M48&lt;&gt;1)),ROUND(OFFSET($P48,0,AD$13),15-13*ORÇAMENTO!$AF$7)/$H48*OFFSET(ORÇAMENTO!$X$15,ROW(AD48)-ROW(AD$15),0),0)</f>
        <v>0</v>
      </c>
      <c r="AE48" s="593">
        <f ca="1">IF(AND($D48="Serviço",AE$12&lt;&gt;0,$H48&gt;0,OR(AUTOEVENTO&lt;&gt;"manual",$M48&lt;&gt;1)),ROUND(OFFSET($P48,0,AE$13),15-13*ORÇAMENTO!$AF$7)/$H48*OFFSET(ORÇAMENTO!$X$15,ROW(AE48)-ROW(AE$15),0),0)</f>
        <v>0</v>
      </c>
      <c r="AF48" s="593">
        <f ca="1">IF(AND($D48="Serviço",AF$12&lt;&gt;0,$H48&gt;0,OR(AUTOEVENTO&lt;&gt;"manual",$M48&lt;&gt;1)),ROUND(OFFSET($P48,0,AF$13),15-13*ORÇAMENTO!$AF$7)/$H48*OFFSET(ORÇAMENTO!$X$15,ROW(AF48)-ROW(AF$15),0),0)</f>
        <v>0</v>
      </c>
      <c r="AG48" s="593">
        <f ca="1">IF(AND($D48="Serviço",AG$12&lt;&gt;0,$H48&gt;0,OR(AUTOEVENTO&lt;&gt;"manual",$M48&lt;&gt;1)),ROUND(OFFSET($P48,0,AG$13),15-13*ORÇAMENTO!$AF$7)/$H48*OFFSET(ORÇAMENTO!$X$15,ROW(AG48)-ROW(AG$15),0),0)</f>
        <v>0</v>
      </c>
      <c r="AH48" s="593">
        <f ca="1">IF(AND($D48="Serviço",AH$12&lt;&gt;0,$H48&gt;0,OR(AUTOEVENTO&lt;&gt;"manual",$M48&lt;&gt;1)),ROUND(OFFSET($P48,0,AH$13),15-13*ORÇAMENTO!$AF$7)/$H48*OFFSET(ORÇAMENTO!$X$15,ROW(AH48)-ROW(AH$15),0),0)</f>
        <v>0</v>
      </c>
      <c r="AI48" s="593">
        <f ca="1">IF(AND($D48="Serviço",AI$12&lt;&gt;0,$H48&gt;0,OR(AUTOEVENTO&lt;&gt;"manual",$M48&lt;&gt;1)),ROUND(OFFSET($P48,0,AI$13),15-13*ORÇAMENTO!$AF$7)/$H48*OFFSET(ORÇAMENTO!$X$15,ROW(AI48)-ROW(AI$15),0),0)</f>
        <v>0</v>
      </c>
      <c r="AJ48" s="593">
        <f ca="1">IF(AND($D48="Serviço",AJ$12&lt;&gt;0,$H48&gt;0,OR(AUTOEVENTO&lt;&gt;"manual",$M48&lt;&gt;1)),ROUND(OFFSET($P48,0,AJ$13),15-13*ORÇAMENTO!$AF$7)/$H48*OFFSET(ORÇAMENTO!$X$15,ROW(AJ48)-ROW(AJ$15),0),0)</f>
        <v>0</v>
      </c>
      <c r="AK48" s="594">
        <f ca="1">IF(AND($D48="Serviço",AK$12&lt;&gt;0,$H48&gt;0,OR(AUTOEVENTO&lt;&gt;"manual",$M48&lt;&gt;1)),ROUND(OFFSET($P48,0,AK$13),15-13*ORÇAMENTO!$AF$7)/$H48*OFFSET(ORÇAMENTO!$X$15,ROW(AK48)-ROW(AK$15),0),0)</f>
        <v>0</v>
      </c>
      <c r="AM48" s="215">
        <f ca="1">IF($D48&lt;&gt;"Serviço",0,IF(AND(AUTOEVENTO="Manual",$M48=1),0,IF(OFFSET(CRONOPLE!$F$14,$M48,AM$13)="",10^12,OFFSET(CRONOPLE!$F$14,$M48,AM$13))))</f>
        <v>1</v>
      </c>
      <c r="AN48" s="215">
        <f ca="1">IF($D48&lt;&gt;"Serviço",0,IF(AND(AUTOEVENTO="Manual",$M48=1),0,IF(OFFSET(CRONOPLE!$F$14,$M48,AN$13)="",10^12,OFFSET(CRONOPLE!$F$14,$M48,AN$13))))</f>
        <v>3</v>
      </c>
      <c r="AO48" s="215">
        <f ca="1">IF($D48&lt;&gt;"Serviço",0,IF(AND(AUTOEVENTO="Manual",$M48=1),0,IF(OFFSET(CRONOPLE!$F$14,$M48,AO$13)="",10^12,OFFSET(CRONOPLE!$F$14,$M48,AO$13))))</f>
        <v>1000000000000</v>
      </c>
      <c r="AP48" s="215">
        <f ca="1">IF($D48&lt;&gt;"Serviço",0,IF(AND(AUTOEVENTO="Manual",$M48=1),0,IF(OFFSET(CRONOPLE!$F$14,$M48,AP$13)="",10^12,OFFSET(CRONOPLE!$F$14,$M48,AP$13))))</f>
        <v>1000000000000</v>
      </c>
      <c r="AQ48" s="215">
        <f ca="1">IF($D48&lt;&gt;"Serviço",0,IF(AND(AUTOEVENTO="Manual",$M48=1),0,IF(OFFSET(CRONOPLE!$F$14,$M48,AQ$13)="",10^12,OFFSET(CRONOPLE!$F$14,$M48,AQ$13))))</f>
        <v>1000000000000</v>
      </c>
      <c r="AR48" s="215">
        <f ca="1">IF($D48&lt;&gt;"Serviço",0,IF(AND(AUTOEVENTO="Manual",$M48=1),0,IF(OFFSET(CRONOPLE!$F$14,$M48,AR$13)="",10^12,OFFSET(CRONOPLE!$F$14,$M48,AR$13))))</f>
        <v>1000000000000</v>
      </c>
      <c r="AS48" s="215">
        <f ca="1">IF($D48&lt;&gt;"Serviço",0,IF(AND(AUTOEVENTO="Manual",$M48=1),0,IF(OFFSET(CRONOPLE!$F$14,$M48,AS$13)="",10^12,OFFSET(CRONOPLE!$F$14,$M48,AS$13))))</f>
        <v>1000000000000</v>
      </c>
      <c r="AT48" s="215">
        <f ca="1">IF($D48&lt;&gt;"Serviço",0,IF(AND(AUTOEVENTO="Manual",$M48=1),0,IF(OFFSET(CRONOPLE!$F$14,$M48,AT$13)="",10^12,OFFSET(CRONOPLE!$F$14,$M48,AT$13))))</f>
        <v>1000000000000</v>
      </c>
      <c r="AU48" s="215">
        <f ca="1">IF($D48&lt;&gt;"Serviço",0,IF(AND(AUTOEVENTO="Manual",$M48=1),0,IF(OFFSET(CRONOPLE!$F$14,$M48,AU$13)="",10^12,OFFSET(CRONOPLE!$F$14,$M48,AU$13))))</f>
        <v>1000000000000</v>
      </c>
      <c r="AV48" s="215">
        <f ca="1">IF($D48&lt;&gt;"Serviço",0,IF(AND(AUTOEVENTO="Manual",$M48=1),0,IF(OFFSET(CRONOPLE!$F$14,$M48,AV$13)="",10^12,OFFSET(CRONOPLE!$F$14,$M48,AV$13))))</f>
        <v>1000000000000</v>
      </c>
      <c r="AX48" s="216">
        <f ca="1">IF($D48&lt;&gt;"Serviço",0,IF(OR(AND(AUTOEVENTO="Manual",$M48=1),$M48&gt;(ROW(PLE.lastrow)-ROW(PLE.firstrow))),0,IF(OFFSET(PLE!$G$14,$M48,AX$13)="",10^12,OFFSET(PLE!$G$14,$M48,AX$13))))</f>
        <v>1000000000000</v>
      </c>
      <c r="AY48" s="216">
        <f ca="1">IF($D48&lt;&gt;"Serviço",0,IF(OR(AND(AUTOEVENTO="Manual",$M48=1),$M48&gt;(ROW(PLE.lastrow)-ROW(PLE.firstrow))),0,IF(OFFSET(PLE!$G$14,$M48,AY$13)="",10^12,OFFSET(PLE!$G$14,$M48,AY$13))))</f>
        <v>1000000000000</v>
      </c>
      <c r="AZ48" s="216">
        <f ca="1">IF($D48&lt;&gt;"Serviço",0,IF(OR(AND(AUTOEVENTO="Manual",$M48=1),$M48&gt;(ROW(PLE.lastrow)-ROW(PLE.firstrow))),0,IF(OFFSET(PLE!$G$14,$M48,AZ$13)="",10^12,OFFSET(PLE!$G$14,$M48,AZ$13))))</f>
        <v>1000000000000</v>
      </c>
      <c r="BA48" s="216">
        <f ca="1">IF($D48&lt;&gt;"Serviço",0,IF(OR(AND(AUTOEVENTO="Manual",$M48=1),$M48&gt;(ROW(PLE.lastrow)-ROW(PLE.firstrow))),0,IF(OFFSET(PLE!$G$14,$M48,BA$13)="",10^12,OFFSET(PLE!$G$14,$M48,BA$13))))</f>
        <v>1000000000000</v>
      </c>
      <c r="BB48" s="216">
        <f ca="1">IF($D48&lt;&gt;"Serviço",0,IF(OR(AND(AUTOEVENTO="Manual",$M48=1),$M48&gt;(ROW(PLE.lastrow)-ROW(PLE.firstrow))),0,IF(OFFSET(PLE!$G$14,$M48,BB$13)="",10^12,OFFSET(PLE!$G$14,$M48,BB$13))))</f>
        <v>1000000000000</v>
      </c>
      <c r="BC48" s="216">
        <f ca="1">IF($D48&lt;&gt;"Serviço",0,IF(OR(AND(AUTOEVENTO="Manual",$M48=1),$M48&gt;(ROW(PLE.lastrow)-ROW(PLE.firstrow))),0,IF(OFFSET(PLE!$G$14,$M48,BC$13)="",10^12,OFFSET(PLE!$G$14,$M48,BC$13))))</f>
        <v>1000000000000</v>
      </c>
      <c r="BD48" s="216">
        <f ca="1">IF($D48&lt;&gt;"Serviço",0,IF(OR(AND(AUTOEVENTO="Manual",$M48=1),$M48&gt;(ROW(PLE.lastrow)-ROW(PLE.firstrow))),0,IF(OFFSET(PLE!$G$14,$M48,BD$13)="",10^12,OFFSET(PLE!$G$14,$M48,BD$13))))</f>
        <v>1000000000000</v>
      </c>
      <c r="BE48" s="216">
        <f ca="1">IF($D48&lt;&gt;"Serviço",0,IF(OR(AND(AUTOEVENTO="Manual",$M48=1),$M48&gt;(ROW(PLE.lastrow)-ROW(PLE.firstrow))),0,IF(OFFSET(PLE!$G$14,$M48,BE$13)="",10^12,OFFSET(PLE!$G$14,$M48,BE$13))))</f>
        <v>1000000000000</v>
      </c>
      <c r="BF48" s="216">
        <f ca="1">IF($D48&lt;&gt;"Serviço",0,IF(OR(AND(AUTOEVENTO="Manual",$M48=1),$M48&gt;(ROW(PLE.lastrow)-ROW(PLE.firstrow))),0,IF(OFFSET(PLE!$G$14,$M48,BF$13)="",10^12,OFFSET(PLE!$G$14,$M48,BF$13))))</f>
        <v>1000000000000</v>
      </c>
      <c r="BG48" s="216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x14ac:dyDescent="0.2">
      <c r="A49" s="9" t="str">
        <f t="shared" ca="1" si="8"/>
        <v>27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5" t="str">
        <f ca="1">OFFSET(ORÇAMENTO!N$15,ROW(D49)-ROW(D$15),0)</f>
        <v>Serviço</v>
      </c>
      <c r="E49" s="205" t="str">
        <f ca="1">OFFSET(ORÇAMENTO!O$15,ROW(E49)-ROW(E$15),0)</f>
        <v>1.3.5.</v>
      </c>
      <c r="F49" s="206" t="str">
        <f ca="1">OFFSET(ORÇAMENTO!R$15,ROW(F49)-ROW(F$15),0)</f>
        <v>(abra o arquivo 'Referência 05-2023.xls)</v>
      </c>
      <c r="G49" s="207" t="str">
        <f ca="1">IF($D49&lt;&gt;"Serviço","",OFFSET(ORÇAMENTO!S$15,ROW(G49)-ROW(G$15),0))</f>
        <v>-</v>
      </c>
      <c r="H49" s="151">
        <f ca="1">IF($D49&lt;&gt;"Serviço",0,IF(ACOMPANHAMENTO="BM",ROUND(OFFSET(ORÇAMENTO!AJ$15,ROW(H49)-ROW(H$15),0),15-13*ORÇAMENTO!$AF$7),SUMPRODUCT(($Q$12:$AA$12&lt;&gt;"")*ROUND($Q49:$AA49,15-13*ORÇAMENTO!$AF$7))))</f>
        <v>6</v>
      </c>
      <c r="I49" s="611"/>
      <c r="K49" s="208"/>
      <c r="L49" s="209" t="s">
        <v>254</v>
      </c>
      <c r="M49" s="210">
        <f ca="1">IF($D49&lt;&gt;"Serviço","",IF(AUTOEVENTO="manual",$A49,IF(ISERROR(MATCH($A49,$A$15:OFFSET($A49,-1,0),0)),MAX($M$15:OFFSET(M49,-1,0))+1,INDEX($M$15:OFFSET(M49,-1,0),MATCH($A49,$A$15:OFFSET($A49,-1,0),0)))))</f>
        <v>4</v>
      </c>
      <c r="N49" s="211" t="str">
        <f ca="1">IF($D49&lt;&gt;"Serviço","",IF(AUTOEVENTO="Manual",IF($A49=0,"&lt;-- defina o número do agrupador",OFFSET(EVENTOS!$D$14,$A49,0)),OFFSET($F$15,$A49,0)))</f>
        <v>ALVENARIA</v>
      </c>
      <c r="O49" s="212"/>
      <c r="Q49" s="212">
        <v>20</v>
      </c>
      <c r="R49" s="213"/>
      <c r="S49" s="213"/>
      <c r="T49" s="213"/>
      <c r="U49" s="213"/>
      <c r="V49" s="213"/>
      <c r="W49" s="213"/>
      <c r="X49" s="213"/>
      <c r="Y49" s="213"/>
      <c r="Z49" s="214"/>
      <c r="AB49" s="592">
        <f ca="1">IF(AND($D49="Serviço",AB$12&lt;&gt;0,$H49&gt;0,OR(AUTOEVENTO&lt;&gt;"manual",$M49&lt;&gt;1)),ROUND(OFFSET($P49,0,AB$13),15-13*ORÇAMENTO!$AF$7)/$H49*OFFSET(ORÇAMENTO!$X$15,ROW(AB49)-ROW(AB$15),0),0)</f>
        <v>3071</v>
      </c>
      <c r="AC49" s="593">
        <f ca="1">IF(AND($D49="Serviço",AC$12&lt;&gt;0,$H49&gt;0,OR(AUTOEVENTO&lt;&gt;"manual",$M49&lt;&gt;1)),ROUND(OFFSET($P49,0,AC$13),15-13*ORÇAMENTO!$AF$7)/$H49*OFFSET(ORÇAMENTO!$X$15,ROW(AC49)-ROW(AC$15),0),0)</f>
        <v>0</v>
      </c>
      <c r="AD49" s="593">
        <f ca="1">IF(AND($D49="Serviço",AD$12&lt;&gt;0,$H49&gt;0,OR(AUTOEVENTO&lt;&gt;"manual",$M49&lt;&gt;1)),ROUND(OFFSET($P49,0,AD$13),15-13*ORÇAMENTO!$AF$7)/$H49*OFFSET(ORÇAMENTO!$X$15,ROW(AD49)-ROW(AD$15),0),0)</f>
        <v>0</v>
      </c>
      <c r="AE49" s="593">
        <f ca="1">IF(AND($D49="Serviço",AE$12&lt;&gt;0,$H49&gt;0,OR(AUTOEVENTO&lt;&gt;"manual",$M49&lt;&gt;1)),ROUND(OFFSET($P49,0,AE$13),15-13*ORÇAMENTO!$AF$7)/$H49*OFFSET(ORÇAMENTO!$X$15,ROW(AE49)-ROW(AE$15),0),0)</f>
        <v>0</v>
      </c>
      <c r="AF49" s="593">
        <f ca="1">IF(AND($D49="Serviço",AF$12&lt;&gt;0,$H49&gt;0,OR(AUTOEVENTO&lt;&gt;"manual",$M49&lt;&gt;1)),ROUND(OFFSET($P49,0,AF$13),15-13*ORÇAMENTO!$AF$7)/$H49*OFFSET(ORÇAMENTO!$X$15,ROW(AF49)-ROW(AF$15),0),0)</f>
        <v>0</v>
      </c>
      <c r="AG49" s="593">
        <f ca="1">IF(AND($D49="Serviço",AG$12&lt;&gt;0,$H49&gt;0,OR(AUTOEVENTO&lt;&gt;"manual",$M49&lt;&gt;1)),ROUND(OFFSET($P49,0,AG$13),15-13*ORÇAMENTO!$AF$7)/$H49*OFFSET(ORÇAMENTO!$X$15,ROW(AG49)-ROW(AG$15),0),0)</f>
        <v>0</v>
      </c>
      <c r="AH49" s="593">
        <f ca="1">IF(AND($D49="Serviço",AH$12&lt;&gt;0,$H49&gt;0,OR(AUTOEVENTO&lt;&gt;"manual",$M49&lt;&gt;1)),ROUND(OFFSET($P49,0,AH$13),15-13*ORÇAMENTO!$AF$7)/$H49*OFFSET(ORÇAMENTO!$X$15,ROW(AH49)-ROW(AH$15),0),0)</f>
        <v>0</v>
      </c>
      <c r="AI49" s="593">
        <f ca="1">IF(AND($D49="Serviço",AI$12&lt;&gt;0,$H49&gt;0,OR(AUTOEVENTO&lt;&gt;"manual",$M49&lt;&gt;1)),ROUND(OFFSET($P49,0,AI$13),15-13*ORÇAMENTO!$AF$7)/$H49*OFFSET(ORÇAMENTO!$X$15,ROW(AI49)-ROW(AI$15),0),0)</f>
        <v>0</v>
      </c>
      <c r="AJ49" s="593">
        <f ca="1">IF(AND($D49="Serviço",AJ$12&lt;&gt;0,$H49&gt;0,OR(AUTOEVENTO&lt;&gt;"manual",$M49&lt;&gt;1)),ROUND(OFFSET($P49,0,AJ$13),15-13*ORÇAMENTO!$AF$7)/$H49*OFFSET(ORÇAMENTO!$X$15,ROW(AJ49)-ROW(AJ$15),0),0)</f>
        <v>0</v>
      </c>
      <c r="AK49" s="594">
        <f ca="1">IF(AND($D49="Serviço",AK$12&lt;&gt;0,$H49&gt;0,OR(AUTOEVENTO&lt;&gt;"manual",$M49&lt;&gt;1)),ROUND(OFFSET($P49,0,AK$13),15-13*ORÇAMENTO!$AF$7)/$H49*OFFSET(ORÇAMENTO!$X$15,ROW(AK49)-ROW(AK$15),0),0)</f>
        <v>0</v>
      </c>
      <c r="AM49" s="215">
        <f ca="1">IF($D49&lt;&gt;"Serviço",0,IF(AND(AUTOEVENTO="Manual",$M49=1),0,IF(OFFSET(CRONOPLE!$F$14,$M49,AM$13)="",10^12,OFFSET(CRONOPLE!$F$14,$M49,AM$13))))</f>
        <v>1</v>
      </c>
      <c r="AN49" s="215">
        <f ca="1">IF($D49&lt;&gt;"Serviço",0,IF(AND(AUTOEVENTO="Manual",$M49=1),0,IF(OFFSET(CRONOPLE!$F$14,$M49,AN$13)="",10^12,OFFSET(CRONOPLE!$F$14,$M49,AN$13))))</f>
        <v>3</v>
      </c>
      <c r="AO49" s="215">
        <f ca="1">IF($D49&lt;&gt;"Serviço",0,IF(AND(AUTOEVENTO="Manual",$M49=1),0,IF(OFFSET(CRONOPLE!$F$14,$M49,AO$13)="",10^12,OFFSET(CRONOPLE!$F$14,$M49,AO$13))))</f>
        <v>1000000000000</v>
      </c>
      <c r="AP49" s="215">
        <f ca="1">IF($D49&lt;&gt;"Serviço",0,IF(AND(AUTOEVENTO="Manual",$M49=1),0,IF(OFFSET(CRONOPLE!$F$14,$M49,AP$13)="",10^12,OFFSET(CRONOPLE!$F$14,$M49,AP$13))))</f>
        <v>1000000000000</v>
      </c>
      <c r="AQ49" s="215">
        <f ca="1">IF($D49&lt;&gt;"Serviço",0,IF(AND(AUTOEVENTO="Manual",$M49=1),0,IF(OFFSET(CRONOPLE!$F$14,$M49,AQ$13)="",10^12,OFFSET(CRONOPLE!$F$14,$M49,AQ$13))))</f>
        <v>1000000000000</v>
      </c>
      <c r="AR49" s="215">
        <f ca="1">IF($D49&lt;&gt;"Serviço",0,IF(AND(AUTOEVENTO="Manual",$M49=1),0,IF(OFFSET(CRONOPLE!$F$14,$M49,AR$13)="",10^12,OFFSET(CRONOPLE!$F$14,$M49,AR$13))))</f>
        <v>1000000000000</v>
      </c>
      <c r="AS49" s="215">
        <f ca="1">IF($D49&lt;&gt;"Serviço",0,IF(AND(AUTOEVENTO="Manual",$M49=1),0,IF(OFFSET(CRONOPLE!$F$14,$M49,AS$13)="",10^12,OFFSET(CRONOPLE!$F$14,$M49,AS$13))))</f>
        <v>1000000000000</v>
      </c>
      <c r="AT49" s="215">
        <f ca="1">IF($D49&lt;&gt;"Serviço",0,IF(AND(AUTOEVENTO="Manual",$M49=1),0,IF(OFFSET(CRONOPLE!$F$14,$M49,AT$13)="",10^12,OFFSET(CRONOPLE!$F$14,$M49,AT$13))))</f>
        <v>1000000000000</v>
      </c>
      <c r="AU49" s="215">
        <f ca="1">IF($D49&lt;&gt;"Serviço",0,IF(AND(AUTOEVENTO="Manual",$M49=1),0,IF(OFFSET(CRONOPLE!$F$14,$M49,AU$13)="",10^12,OFFSET(CRONOPLE!$F$14,$M49,AU$13))))</f>
        <v>1000000000000</v>
      </c>
      <c r="AV49" s="215">
        <f ca="1">IF($D49&lt;&gt;"Serviço",0,IF(AND(AUTOEVENTO="Manual",$M49=1),0,IF(OFFSET(CRONOPLE!$F$14,$M49,AV$13)="",10^12,OFFSET(CRONOPLE!$F$14,$M49,AV$13))))</f>
        <v>1000000000000</v>
      </c>
      <c r="AX49" s="216">
        <f ca="1">IF($D49&lt;&gt;"Serviço",0,IF(OR(AND(AUTOEVENTO="Manual",$M49=1),$M49&gt;(ROW(PLE.lastrow)-ROW(PLE.firstrow))),0,IF(OFFSET(PLE!$G$14,$M49,AX$13)="",10^12,OFFSET(PLE!$G$14,$M49,AX$13))))</f>
        <v>1000000000000</v>
      </c>
      <c r="AY49" s="216">
        <f ca="1">IF($D49&lt;&gt;"Serviço",0,IF(OR(AND(AUTOEVENTO="Manual",$M49=1),$M49&gt;(ROW(PLE.lastrow)-ROW(PLE.firstrow))),0,IF(OFFSET(PLE!$G$14,$M49,AY$13)="",10^12,OFFSET(PLE!$G$14,$M49,AY$13))))</f>
        <v>1000000000000</v>
      </c>
      <c r="AZ49" s="216">
        <f ca="1">IF($D49&lt;&gt;"Serviço",0,IF(OR(AND(AUTOEVENTO="Manual",$M49=1),$M49&gt;(ROW(PLE.lastrow)-ROW(PLE.firstrow))),0,IF(OFFSET(PLE!$G$14,$M49,AZ$13)="",10^12,OFFSET(PLE!$G$14,$M49,AZ$13))))</f>
        <v>1000000000000</v>
      </c>
      <c r="BA49" s="216">
        <f ca="1">IF($D49&lt;&gt;"Serviço",0,IF(OR(AND(AUTOEVENTO="Manual",$M49=1),$M49&gt;(ROW(PLE.lastrow)-ROW(PLE.firstrow))),0,IF(OFFSET(PLE!$G$14,$M49,BA$13)="",10^12,OFFSET(PLE!$G$14,$M49,BA$13))))</f>
        <v>1000000000000</v>
      </c>
      <c r="BB49" s="216">
        <f ca="1">IF($D49&lt;&gt;"Serviço",0,IF(OR(AND(AUTOEVENTO="Manual",$M49=1),$M49&gt;(ROW(PLE.lastrow)-ROW(PLE.firstrow))),0,IF(OFFSET(PLE!$G$14,$M49,BB$13)="",10^12,OFFSET(PLE!$G$14,$M49,BB$13))))</f>
        <v>1000000000000</v>
      </c>
      <c r="BC49" s="216">
        <f ca="1">IF($D49&lt;&gt;"Serviço",0,IF(OR(AND(AUTOEVENTO="Manual",$M49=1),$M49&gt;(ROW(PLE.lastrow)-ROW(PLE.firstrow))),0,IF(OFFSET(PLE!$G$14,$M49,BC$13)="",10^12,OFFSET(PLE!$G$14,$M49,BC$13))))</f>
        <v>1000000000000</v>
      </c>
      <c r="BD49" s="216">
        <f ca="1">IF($D49&lt;&gt;"Serviço",0,IF(OR(AND(AUTOEVENTO="Manual",$M49=1),$M49&gt;(ROW(PLE.lastrow)-ROW(PLE.firstrow))),0,IF(OFFSET(PLE!$G$14,$M49,BD$13)="",10^12,OFFSET(PLE!$G$14,$M49,BD$13))))</f>
        <v>1000000000000</v>
      </c>
      <c r="BE49" s="216">
        <f ca="1">IF($D49&lt;&gt;"Serviço",0,IF(OR(AND(AUTOEVENTO="Manual",$M49=1),$M49&gt;(ROW(PLE.lastrow)-ROW(PLE.firstrow))),0,IF(OFFSET(PLE!$G$14,$M49,BE$13)="",10^12,OFFSET(PLE!$G$14,$M49,BE$13))))</f>
        <v>1000000000000</v>
      </c>
      <c r="BF49" s="216">
        <f ca="1">IF($D49&lt;&gt;"Serviço",0,IF(OR(AND(AUTOEVENTO="Manual",$M49=1),$M49&gt;(ROW(PLE.lastrow)-ROW(PLE.firstrow))),0,IF(OFFSET(PLE!$G$14,$M49,BF$13)="",10^12,OFFSET(PLE!$G$14,$M49,BF$13))))</f>
        <v>1000000000000</v>
      </c>
      <c r="BG49" s="216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27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5" t="str">
        <f ca="1">OFFSET(ORÇAMENTO!N$15,ROW(D50)-ROW(D$15),0)</f>
        <v>Serviço</v>
      </c>
      <c r="E50" s="205" t="str">
        <f ca="1">OFFSET(ORÇAMENTO!O$15,ROW(E50)-ROW(E$15),0)</f>
        <v>-</v>
      </c>
      <c r="F50" s="206" t="str">
        <f ca="1">OFFSET(ORÇAMENTO!R$15,ROW(F50)-ROW(F$15),0)</f>
        <v>(abra o arquivo 'Referência 05-2023.xls)</v>
      </c>
      <c r="G50" s="207" t="str">
        <f ca="1">IF($D50&lt;&gt;"Serviço","",OFFSET(ORÇAMENTO!S$15,ROW(G50)-ROW(G$15),0))</f>
        <v>-</v>
      </c>
      <c r="H50" s="151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1"/>
      <c r="K50" s="208"/>
      <c r="L50" s="209" t="s">
        <v>254</v>
      </c>
      <c r="M50" s="210">
        <f ca="1">IF($D50&lt;&gt;"Serviço","",IF(AUTOEVENTO="manual",$A50,IF(ISERROR(MATCH($A50,$A$15:OFFSET($A50,-1,0),0)),MAX($M$15:OFFSET(M50,-1,0))+1,INDEX($M$15:OFFSET(M50,-1,0),MATCH($A50,$A$15:OFFSET($A50,-1,0),0)))))</f>
        <v>4</v>
      </c>
      <c r="N50" s="211" t="str">
        <f ca="1">IF($D50&lt;&gt;"Serviço","",IF(AUTOEVENTO="Manual",IF($A50=0,"&lt;-- defina o número do agrupador",OFFSET(EVENTOS!$D$14,$A50,0)),OFFSET($F$15,$A50,0)))</f>
        <v>ALVENARIA</v>
      </c>
      <c r="O50" s="212"/>
      <c r="Q50" s="212"/>
      <c r="R50" s="213"/>
      <c r="S50" s="213"/>
      <c r="T50" s="213"/>
      <c r="U50" s="213"/>
      <c r="V50" s="213"/>
      <c r="W50" s="213"/>
      <c r="X50" s="213"/>
      <c r="Y50" s="213"/>
      <c r="Z50" s="214"/>
      <c r="AB50" s="592">
        <f ca="1">IF(AND($D50="Serviço",AB$12&lt;&gt;0,$H50&gt;0,OR(AUTOEVENTO&lt;&gt;"manual",$M50&lt;&gt;1)),ROUND(OFFSET($P50,0,AB$13),15-13*ORÇAMENTO!$AF$7)/$H50*OFFSET(ORÇAMENTO!$X$15,ROW(AB50)-ROW(AB$15),0),0)</f>
        <v>0</v>
      </c>
      <c r="AC50" s="593">
        <f ca="1">IF(AND($D50="Serviço",AC$12&lt;&gt;0,$H50&gt;0,OR(AUTOEVENTO&lt;&gt;"manual",$M50&lt;&gt;1)),ROUND(OFFSET($P50,0,AC$13),15-13*ORÇAMENTO!$AF$7)/$H50*OFFSET(ORÇAMENTO!$X$15,ROW(AC50)-ROW(AC$15),0),0)</f>
        <v>0</v>
      </c>
      <c r="AD50" s="593">
        <f ca="1">IF(AND($D50="Serviço",AD$12&lt;&gt;0,$H50&gt;0,OR(AUTOEVENTO&lt;&gt;"manual",$M50&lt;&gt;1)),ROUND(OFFSET($P50,0,AD$13),15-13*ORÇAMENTO!$AF$7)/$H50*OFFSET(ORÇAMENTO!$X$15,ROW(AD50)-ROW(AD$15),0),0)</f>
        <v>0</v>
      </c>
      <c r="AE50" s="593">
        <f ca="1">IF(AND($D50="Serviço",AE$12&lt;&gt;0,$H50&gt;0,OR(AUTOEVENTO&lt;&gt;"manual",$M50&lt;&gt;1)),ROUND(OFFSET($P50,0,AE$13),15-13*ORÇAMENTO!$AF$7)/$H50*OFFSET(ORÇAMENTO!$X$15,ROW(AE50)-ROW(AE$15),0),0)</f>
        <v>0</v>
      </c>
      <c r="AF50" s="593">
        <f ca="1">IF(AND($D50="Serviço",AF$12&lt;&gt;0,$H50&gt;0,OR(AUTOEVENTO&lt;&gt;"manual",$M50&lt;&gt;1)),ROUND(OFFSET($P50,0,AF$13),15-13*ORÇAMENTO!$AF$7)/$H50*OFFSET(ORÇAMENTO!$X$15,ROW(AF50)-ROW(AF$15),0),0)</f>
        <v>0</v>
      </c>
      <c r="AG50" s="593">
        <f ca="1">IF(AND($D50="Serviço",AG$12&lt;&gt;0,$H50&gt;0,OR(AUTOEVENTO&lt;&gt;"manual",$M50&lt;&gt;1)),ROUND(OFFSET($P50,0,AG$13),15-13*ORÇAMENTO!$AF$7)/$H50*OFFSET(ORÇAMENTO!$X$15,ROW(AG50)-ROW(AG$15),0),0)</f>
        <v>0</v>
      </c>
      <c r="AH50" s="593">
        <f ca="1">IF(AND($D50="Serviço",AH$12&lt;&gt;0,$H50&gt;0,OR(AUTOEVENTO&lt;&gt;"manual",$M50&lt;&gt;1)),ROUND(OFFSET($P50,0,AH$13),15-13*ORÇAMENTO!$AF$7)/$H50*OFFSET(ORÇAMENTO!$X$15,ROW(AH50)-ROW(AH$15),0),0)</f>
        <v>0</v>
      </c>
      <c r="AI50" s="593">
        <f ca="1">IF(AND($D50="Serviço",AI$12&lt;&gt;0,$H50&gt;0,OR(AUTOEVENTO&lt;&gt;"manual",$M50&lt;&gt;1)),ROUND(OFFSET($P50,0,AI$13),15-13*ORÇAMENTO!$AF$7)/$H50*OFFSET(ORÇAMENTO!$X$15,ROW(AI50)-ROW(AI$15),0),0)</f>
        <v>0</v>
      </c>
      <c r="AJ50" s="593">
        <f ca="1">IF(AND($D50="Serviço",AJ$12&lt;&gt;0,$H50&gt;0,OR(AUTOEVENTO&lt;&gt;"manual",$M50&lt;&gt;1)),ROUND(OFFSET($P50,0,AJ$13),15-13*ORÇAMENTO!$AF$7)/$H50*OFFSET(ORÇAMENTO!$X$15,ROW(AJ50)-ROW(AJ$15),0),0)</f>
        <v>0</v>
      </c>
      <c r="AK50" s="594">
        <f ca="1">IF(AND($D50="Serviço",AK$12&lt;&gt;0,$H50&gt;0,OR(AUTOEVENTO&lt;&gt;"manual",$M50&lt;&gt;1)),ROUND(OFFSET($P50,0,AK$13),15-13*ORÇAMENTO!$AF$7)/$H50*OFFSET(ORÇAMENTO!$X$15,ROW(AK50)-ROW(AK$15),0),0)</f>
        <v>0</v>
      </c>
      <c r="AM50" s="215">
        <f ca="1">IF($D50&lt;&gt;"Serviço",0,IF(AND(AUTOEVENTO="Manual",$M50=1),0,IF(OFFSET(CRONOPLE!$F$14,$M50,AM$13)="",10^12,OFFSET(CRONOPLE!$F$14,$M50,AM$13))))</f>
        <v>1</v>
      </c>
      <c r="AN50" s="215">
        <f ca="1">IF($D50&lt;&gt;"Serviço",0,IF(AND(AUTOEVENTO="Manual",$M50=1),0,IF(OFFSET(CRONOPLE!$F$14,$M50,AN$13)="",10^12,OFFSET(CRONOPLE!$F$14,$M50,AN$13))))</f>
        <v>3</v>
      </c>
      <c r="AO50" s="215">
        <f ca="1">IF($D50&lt;&gt;"Serviço",0,IF(AND(AUTOEVENTO="Manual",$M50=1),0,IF(OFFSET(CRONOPLE!$F$14,$M50,AO$13)="",10^12,OFFSET(CRONOPLE!$F$14,$M50,AO$13))))</f>
        <v>1000000000000</v>
      </c>
      <c r="AP50" s="215">
        <f ca="1">IF($D50&lt;&gt;"Serviço",0,IF(AND(AUTOEVENTO="Manual",$M50=1),0,IF(OFFSET(CRONOPLE!$F$14,$M50,AP$13)="",10^12,OFFSET(CRONOPLE!$F$14,$M50,AP$13))))</f>
        <v>1000000000000</v>
      </c>
      <c r="AQ50" s="215">
        <f ca="1">IF($D50&lt;&gt;"Serviço",0,IF(AND(AUTOEVENTO="Manual",$M50=1),0,IF(OFFSET(CRONOPLE!$F$14,$M50,AQ$13)="",10^12,OFFSET(CRONOPLE!$F$14,$M50,AQ$13))))</f>
        <v>1000000000000</v>
      </c>
      <c r="AR50" s="215">
        <f ca="1">IF($D50&lt;&gt;"Serviço",0,IF(AND(AUTOEVENTO="Manual",$M50=1),0,IF(OFFSET(CRONOPLE!$F$14,$M50,AR$13)="",10^12,OFFSET(CRONOPLE!$F$14,$M50,AR$13))))</f>
        <v>1000000000000</v>
      </c>
      <c r="AS50" s="215">
        <f ca="1">IF($D50&lt;&gt;"Serviço",0,IF(AND(AUTOEVENTO="Manual",$M50=1),0,IF(OFFSET(CRONOPLE!$F$14,$M50,AS$13)="",10^12,OFFSET(CRONOPLE!$F$14,$M50,AS$13))))</f>
        <v>1000000000000</v>
      </c>
      <c r="AT50" s="215">
        <f ca="1">IF($D50&lt;&gt;"Serviço",0,IF(AND(AUTOEVENTO="Manual",$M50=1),0,IF(OFFSET(CRONOPLE!$F$14,$M50,AT$13)="",10^12,OFFSET(CRONOPLE!$F$14,$M50,AT$13))))</f>
        <v>1000000000000</v>
      </c>
      <c r="AU50" s="215">
        <f ca="1">IF($D50&lt;&gt;"Serviço",0,IF(AND(AUTOEVENTO="Manual",$M50=1),0,IF(OFFSET(CRONOPLE!$F$14,$M50,AU$13)="",10^12,OFFSET(CRONOPLE!$F$14,$M50,AU$13))))</f>
        <v>1000000000000</v>
      </c>
      <c r="AV50" s="215">
        <f ca="1">IF($D50&lt;&gt;"Serviço",0,IF(AND(AUTOEVENTO="Manual",$M50=1),0,IF(OFFSET(CRONOPLE!$F$14,$M50,AV$13)="",10^12,OFFSET(CRONOPLE!$F$14,$M50,AV$13))))</f>
        <v>1000000000000</v>
      </c>
      <c r="AX50" s="216">
        <f ca="1">IF($D50&lt;&gt;"Serviço",0,IF(OR(AND(AUTOEVENTO="Manual",$M50=1),$M50&gt;(ROW(PLE.lastrow)-ROW(PLE.firstrow))),0,IF(OFFSET(PLE!$G$14,$M50,AX$13)="",10^12,OFFSET(PLE!$G$14,$M50,AX$13))))</f>
        <v>1000000000000</v>
      </c>
      <c r="AY50" s="216">
        <f ca="1">IF($D50&lt;&gt;"Serviço",0,IF(OR(AND(AUTOEVENTO="Manual",$M50=1),$M50&gt;(ROW(PLE.lastrow)-ROW(PLE.firstrow))),0,IF(OFFSET(PLE!$G$14,$M50,AY$13)="",10^12,OFFSET(PLE!$G$14,$M50,AY$13))))</f>
        <v>1000000000000</v>
      </c>
      <c r="AZ50" s="216">
        <f ca="1">IF($D50&lt;&gt;"Serviço",0,IF(OR(AND(AUTOEVENTO="Manual",$M50=1),$M50&gt;(ROW(PLE.lastrow)-ROW(PLE.firstrow))),0,IF(OFFSET(PLE!$G$14,$M50,AZ$13)="",10^12,OFFSET(PLE!$G$14,$M50,AZ$13))))</f>
        <v>1000000000000</v>
      </c>
      <c r="BA50" s="216">
        <f ca="1">IF($D50&lt;&gt;"Serviço",0,IF(OR(AND(AUTOEVENTO="Manual",$M50=1),$M50&gt;(ROW(PLE.lastrow)-ROW(PLE.firstrow))),0,IF(OFFSET(PLE!$G$14,$M50,BA$13)="",10^12,OFFSET(PLE!$G$14,$M50,BA$13))))</f>
        <v>1000000000000</v>
      </c>
      <c r="BB50" s="216">
        <f ca="1">IF($D50&lt;&gt;"Serviço",0,IF(OR(AND(AUTOEVENTO="Manual",$M50=1),$M50&gt;(ROW(PLE.lastrow)-ROW(PLE.firstrow))),0,IF(OFFSET(PLE!$G$14,$M50,BB$13)="",10^12,OFFSET(PLE!$G$14,$M50,BB$13))))</f>
        <v>1000000000000</v>
      </c>
      <c r="BC50" s="216">
        <f ca="1">IF($D50&lt;&gt;"Serviço",0,IF(OR(AND(AUTOEVENTO="Manual",$M50=1),$M50&gt;(ROW(PLE.lastrow)-ROW(PLE.firstrow))),0,IF(OFFSET(PLE!$G$14,$M50,BC$13)="",10^12,OFFSET(PLE!$G$14,$M50,BC$13))))</f>
        <v>1000000000000</v>
      </c>
      <c r="BD50" s="216">
        <f ca="1">IF($D50&lt;&gt;"Serviço",0,IF(OR(AND(AUTOEVENTO="Manual",$M50=1),$M50&gt;(ROW(PLE.lastrow)-ROW(PLE.firstrow))),0,IF(OFFSET(PLE!$G$14,$M50,BD$13)="",10^12,OFFSET(PLE!$G$14,$M50,BD$13))))</f>
        <v>1000000000000</v>
      </c>
      <c r="BE50" s="216">
        <f ca="1">IF($D50&lt;&gt;"Serviço",0,IF(OR(AND(AUTOEVENTO="Manual",$M50=1),$M50&gt;(ROW(PLE.lastrow)-ROW(PLE.firstrow))),0,IF(OFFSET(PLE!$G$14,$M50,BE$13)="",10^12,OFFSET(PLE!$G$14,$M50,BE$13))))</f>
        <v>1000000000000</v>
      </c>
      <c r="BF50" s="216">
        <f ca="1">IF($D50&lt;&gt;"Serviço",0,IF(OR(AND(AUTOEVENTO="Manual",$M50=1),$M50&gt;(ROW(PLE.lastrow)-ROW(PLE.firstrow))),0,IF(OFFSET(PLE!$G$14,$M50,BF$13)="",10^12,OFFSET(PLE!$G$14,$M50,BF$13))))</f>
        <v>1000000000000</v>
      </c>
      <c r="BG50" s="216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x14ac:dyDescent="0.2">
      <c r="A51" s="9" t="str">
        <f t="shared" ca="1" si="8"/>
        <v>27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5" t="str">
        <f ca="1">OFFSET(ORÇAMENTO!N$15,ROW(D51)-ROW(D$15),0)</f>
        <v>Serviço</v>
      </c>
      <c r="E51" s="205" t="str">
        <f ca="1">OFFSET(ORÇAMENTO!O$15,ROW(E51)-ROW(E$15),0)</f>
        <v>-</v>
      </c>
      <c r="F51" s="206" t="str">
        <f ca="1">OFFSET(ORÇAMENTO!R$15,ROW(F51)-ROW(F$15),0)</f>
        <v>(abra o arquivo 'Referência 05-2023.xls)</v>
      </c>
      <c r="G51" s="207" t="str">
        <f ca="1">IF($D51&lt;&gt;"Serviço","",OFFSET(ORÇAMENTO!S$15,ROW(G51)-ROW(G$15),0))</f>
        <v>-</v>
      </c>
      <c r="H51" s="151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1"/>
      <c r="K51" s="208"/>
      <c r="L51" s="209" t="s">
        <v>254</v>
      </c>
      <c r="M51" s="210">
        <f ca="1">IF($D51&lt;&gt;"Serviço","",IF(AUTOEVENTO="manual",$A51,IF(ISERROR(MATCH($A51,$A$15:OFFSET($A51,-1,0),0)),MAX($M$15:OFFSET(M51,-1,0))+1,INDEX($M$15:OFFSET(M51,-1,0),MATCH($A51,$A$15:OFFSET($A51,-1,0),0)))))</f>
        <v>4</v>
      </c>
      <c r="N51" s="211" t="str">
        <f ca="1">IF($D51&lt;&gt;"Serviço","",IF(AUTOEVENTO="Manual",IF($A51=0,"&lt;-- defina o número do agrupador",OFFSET(EVENTOS!$D$14,$A51,0)),OFFSET($F$15,$A51,0)))</f>
        <v>ALVENARIA</v>
      </c>
      <c r="O51" s="212"/>
      <c r="Q51" s="212"/>
      <c r="R51" s="213">
        <v>335</v>
      </c>
      <c r="S51" s="213"/>
      <c r="T51" s="213"/>
      <c r="U51" s="213"/>
      <c r="V51" s="213"/>
      <c r="W51" s="213"/>
      <c r="X51" s="213"/>
      <c r="Y51" s="213"/>
      <c r="Z51" s="214"/>
      <c r="AB51" s="592">
        <f ca="1">IF(AND($D51="Serviço",AB$12&lt;&gt;0,$H51&gt;0,OR(AUTOEVENTO&lt;&gt;"manual",$M51&lt;&gt;1)),ROUND(OFFSET($P51,0,AB$13),15-13*ORÇAMENTO!$AF$7)/$H51*OFFSET(ORÇAMENTO!$X$15,ROW(AB51)-ROW(AB$15),0),0)</f>
        <v>0</v>
      </c>
      <c r="AC51" s="593">
        <f ca="1">IF(AND($D51="Serviço",AC$12&lt;&gt;0,$H51&gt;0,OR(AUTOEVENTO&lt;&gt;"manual",$M51&lt;&gt;1)),ROUND(OFFSET($P51,0,AC$13),15-13*ORÇAMENTO!$AF$7)/$H51*OFFSET(ORÇAMENTO!$X$15,ROW(AC51)-ROW(AC$15),0),0)</f>
        <v>0</v>
      </c>
      <c r="AD51" s="593">
        <f ca="1">IF(AND($D51="Serviço",AD$12&lt;&gt;0,$H51&gt;0,OR(AUTOEVENTO&lt;&gt;"manual",$M51&lt;&gt;1)),ROUND(OFFSET($P51,0,AD$13),15-13*ORÇAMENTO!$AF$7)/$H51*OFFSET(ORÇAMENTO!$X$15,ROW(AD51)-ROW(AD$15),0),0)</f>
        <v>0</v>
      </c>
      <c r="AE51" s="593">
        <f ca="1">IF(AND($D51="Serviço",AE$12&lt;&gt;0,$H51&gt;0,OR(AUTOEVENTO&lt;&gt;"manual",$M51&lt;&gt;1)),ROUND(OFFSET($P51,0,AE$13),15-13*ORÇAMENTO!$AF$7)/$H51*OFFSET(ORÇAMENTO!$X$15,ROW(AE51)-ROW(AE$15),0),0)</f>
        <v>0</v>
      </c>
      <c r="AF51" s="593">
        <f ca="1">IF(AND($D51="Serviço",AF$12&lt;&gt;0,$H51&gt;0,OR(AUTOEVENTO&lt;&gt;"manual",$M51&lt;&gt;1)),ROUND(OFFSET($P51,0,AF$13),15-13*ORÇAMENTO!$AF$7)/$H51*OFFSET(ORÇAMENTO!$X$15,ROW(AF51)-ROW(AF$15),0),0)</f>
        <v>0</v>
      </c>
      <c r="AG51" s="593">
        <f ca="1">IF(AND($D51="Serviço",AG$12&lt;&gt;0,$H51&gt;0,OR(AUTOEVENTO&lt;&gt;"manual",$M51&lt;&gt;1)),ROUND(OFFSET($P51,0,AG$13),15-13*ORÇAMENTO!$AF$7)/$H51*OFFSET(ORÇAMENTO!$X$15,ROW(AG51)-ROW(AG$15),0),0)</f>
        <v>0</v>
      </c>
      <c r="AH51" s="593">
        <f ca="1">IF(AND($D51="Serviço",AH$12&lt;&gt;0,$H51&gt;0,OR(AUTOEVENTO&lt;&gt;"manual",$M51&lt;&gt;1)),ROUND(OFFSET($P51,0,AH$13),15-13*ORÇAMENTO!$AF$7)/$H51*OFFSET(ORÇAMENTO!$X$15,ROW(AH51)-ROW(AH$15),0),0)</f>
        <v>0</v>
      </c>
      <c r="AI51" s="593">
        <f ca="1">IF(AND($D51="Serviço",AI$12&lt;&gt;0,$H51&gt;0,OR(AUTOEVENTO&lt;&gt;"manual",$M51&lt;&gt;1)),ROUND(OFFSET($P51,0,AI$13),15-13*ORÇAMENTO!$AF$7)/$H51*OFFSET(ORÇAMENTO!$X$15,ROW(AI51)-ROW(AI$15),0),0)</f>
        <v>0</v>
      </c>
      <c r="AJ51" s="593">
        <f ca="1">IF(AND($D51="Serviço",AJ$12&lt;&gt;0,$H51&gt;0,OR(AUTOEVENTO&lt;&gt;"manual",$M51&lt;&gt;1)),ROUND(OFFSET($P51,0,AJ$13),15-13*ORÇAMENTO!$AF$7)/$H51*OFFSET(ORÇAMENTO!$X$15,ROW(AJ51)-ROW(AJ$15),0),0)</f>
        <v>0</v>
      </c>
      <c r="AK51" s="594">
        <f ca="1">IF(AND($D51="Serviço",AK$12&lt;&gt;0,$H51&gt;0,OR(AUTOEVENTO&lt;&gt;"manual",$M51&lt;&gt;1)),ROUND(OFFSET($P51,0,AK$13),15-13*ORÇAMENTO!$AF$7)/$H51*OFFSET(ORÇAMENTO!$X$15,ROW(AK51)-ROW(AK$15),0),0)</f>
        <v>0</v>
      </c>
      <c r="AM51" s="215">
        <f ca="1">IF($D51&lt;&gt;"Serviço",0,IF(AND(AUTOEVENTO="Manual",$M51=1),0,IF(OFFSET(CRONOPLE!$F$14,$M51,AM$13)="",10^12,OFFSET(CRONOPLE!$F$14,$M51,AM$13))))</f>
        <v>1</v>
      </c>
      <c r="AN51" s="215">
        <f ca="1">IF($D51&lt;&gt;"Serviço",0,IF(AND(AUTOEVENTO="Manual",$M51=1),0,IF(OFFSET(CRONOPLE!$F$14,$M51,AN$13)="",10^12,OFFSET(CRONOPLE!$F$14,$M51,AN$13))))</f>
        <v>3</v>
      </c>
      <c r="AO51" s="215">
        <f ca="1">IF($D51&lt;&gt;"Serviço",0,IF(AND(AUTOEVENTO="Manual",$M51=1),0,IF(OFFSET(CRONOPLE!$F$14,$M51,AO$13)="",10^12,OFFSET(CRONOPLE!$F$14,$M51,AO$13))))</f>
        <v>1000000000000</v>
      </c>
      <c r="AP51" s="215">
        <f ca="1">IF($D51&lt;&gt;"Serviço",0,IF(AND(AUTOEVENTO="Manual",$M51=1),0,IF(OFFSET(CRONOPLE!$F$14,$M51,AP$13)="",10^12,OFFSET(CRONOPLE!$F$14,$M51,AP$13))))</f>
        <v>1000000000000</v>
      </c>
      <c r="AQ51" s="215">
        <f ca="1">IF($D51&lt;&gt;"Serviço",0,IF(AND(AUTOEVENTO="Manual",$M51=1),0,IF(OFFSET(CRONOPLE!$F$14,$M51,AQ$13)="",10^12,OFFSET(CRONOPLE!$F$14,$M51,AQ$13))))</f>
        <v>1000000000000</v>
      </c>
      <c r="AR51" s="215">
        <f ca="1">IF($D51&lt;&gt;"Serviço",0,IF(AND(AUTOEVENTO="Manual",$M51=1),0,IF(OFFSET(CRONOPLE!$F$14,$M51,AR$13)="",10^12,OFFSET(CRONOPLE!$F$14,$M51,AR$13))))</f>
        <v>1000000000000</v>
      </c>
      <c r="AS51" s="215">
        <f ca="1">IF($D51&lt;&gt;"Serviço",0,IF(AND(AUTOEVENTO="Manual",$M51=1),0,IF(OFFSET(CRONOPLE!$F$14,$M51,AS$13)="",10^12,OFFSET(CRONOPLE!$F$14,$M51,AS$13))))</f>
        <v>1000000000000</v>
      </c>
      <c r="AT51" s="215">
        <f ca="1">IF($D51&lt;&gt;"Serviço",0,IF(AND(AUTOEVENTO="Manual",$M51=1),0,IF(OFFSET(CRONOPLE!$F$14,$M51,AT$13)="",10^12,OFFSET(CRONOPLE!$F$14,$M51,AT$13))))</f>
        <v>1000000000000</v>
      </c>
      <c r="AU51" s="215">
        <f ca="1">IF($D51&lt;&gt;"Serviço",0,IF(AND(AUTOEVENTO="Manual",$M51=1),0,IF(OFFSET(CRONOPLE!$F$14,$M51,AU$13)="",10^12,OFFSET(CRONOPLE!$F$14,$M51,AU$13))))</f>
        <v>1000000000000</v>
      </c>
      <c r="AV51" s="215">
        <f ca="1">IF($D51&lt;&gt;"Serviço",0,IF(AND(AUTOEVENTO="Manual",$M51=1),0,IF(OFFSET(CRONOPLE!$F$14,$M51,AV$13)="",10^12,OFFSET(CRONOPLE!$F$14,$M51,AV$13))))</f>
        <v>1000000000000</v>
      </c>
      <c r="AX51" s="216">
        <f ca="1">IF($D51&lt;&gt;"Serviço",0,IF(OR(AND(AUTOEVENTO="Manual",$M51=1),$M51&gt;(ROW(PLE.lastrow)-ROW(PLE.firstrow))),0,IF(OFFSET(PLE!$G$14,$M51,AX$13)="",10^12,OFFSET(PLE!$G$14,$M51,AX$13))))</f>
        <v>1000000000000</v>
      </c>
      <c r="AY51" s="216">
        <f ca="1">IF($D51&lt;&gt;"Serviço",0,IF(OR(AND(AUTOEVENTO="Manual",$M51=1),$M51&gt;(ROW(PLE.lastrow)-ROW(PLE.firstrow))),0,IF(OFFSET(PLE!$G$14,$M51,AY$13)="",10^12,OFFSET(PLE!$G$14,$M51,AY$13))))</f>
        <v>1000000000000</v>
      </c>
      <c r="AZ51" s="216">
        <f ca="1">IF($D51&lt;&gt;"Serviço",0,IF(OR(AND(AUTOEVENTO="Manual",$M51=1),$M51&gt;(ROW(PLE.lastrow)-ROW(PLE.firstrow))),0,IF(OFFSET(PLE!$G$14,$M51,AZ$13)="",10^12,OFFSET(PLE!$G$14,$M51,AZ$13))))</f>
        <v>1000000000000</v>
      </c>
      <c r="BA51" s="216">
        <f ca="1">IF($D51&lt;&gt;"Serviço",0,IF(OR(AND(AUTOEVENTO="Manual",$M51=1),$M51&gt;(ROW(PLE.lastrow)-ROW(PLE.firstrow))),0,IF(OFFSET(PLE!$G$14,$M51,BA$13)="",10^12,OFFSET(PLE!$G$14,$M51,BA$13))))</f>
        <v>1000000000000</v>
      </c>
      <c r="BB51" s="216">
        <f ca="1">IF($D51&lt;&gt;"Serviço",0,IF(OR(AND(AUTOEVENTO="Manual",$M51=1),$M51&gt;(ROW(PLE.lastrow)-ROW(PLE.firstrow))),0,IF(OFFSET(PLE!$G$14,$M51,BB$13)="",10^12,OFFSET(PLE!$G$14,$M51,BB$13))))</f>
        <v>1000000000000</v>
      </c>
      <c r="BC51" s="216">
        <f ca="1">IF($D51&lt;&gt;"Serviço",0,IF(OR(AND(AUTOEVENTO="Manual",$M51=1),$M51&gt;(ROW(PLE.lastrow)-ROW(PLE.firstrow))),0,IF(OFFSET(PLE!$G$14,$M51,BC$13)="",10^12,OFFSET(PLE!$G$14,$M51,BC$13))))</f>
        <v>1000000000000</v>
      </c>
      <c r="BD51" s="216">
        <f ca="1">IF($D51&lt;&gt;"Serviço",0,IF(OR(AND(AUTOEVENTO="Manual",$M51=1),$M51&gt;(ROW(PLE.lastrow)-ROW(PLE.firstrow))),0,IF(OFFSET(PLE!$G$14,$M51,BD$13)="",10^12,OFFSET(PLE!$G$14,$M51,BD$13))))</f>
        <v>1000000000000</v>
      </c>
      <c r="BE51" s="216">
        <f ca="1">IF($D51&lt;&gt;"Serviço",0,IF(OR(AND(AUTOEVENTO="Manual",$M51=1),$M51&gt;(ROW(PLE.lastrow)-ROW(PLE.firstrow))),0,IF(OFFSET(PLE!$G$14,$M51,BE$13)="",10^12,OFFSET(PLE!$G$14,$M51,BE$13))))</f>
        <v>1000000000000</v>
      </c>
      <c r="BF51" s="216">
        <f ca="1">IF($D51&lt;&gt;"Serviço",0,IF(OR(AND(AUTOEVENTO="Manual",$M51=1),$M51&gt;(ROW(PLE.lastrow)-ROW(PLE.firstrow))),0,IF(OFFSET(PLE!$G$14,$M51,BF$13)="",10^12,OFFSET(PLE!$G$14,$M51,BF$13))))</f>
        <v>1000000000000</v>
      </c>
      <c r="BG51" s="216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37.</v>
      </c>
      <c r="B52" s="9">
        <f ca="1">OFFSET(ORÇAMENTO!C$15,ROW(B52)-ROW(B$15),0)</f>
        <v>2</v>
      </c>
      <c r="C52" s="9" t="str">
        <f ca="1">OFFSET(ORÇAMENTO!L$15,ROW(C52)-ROW(C$15),0)</f>
        <v>F</v>
      </c>
      <c r="D52" s="145" t="str">
        <f ca="1">OFFSET(ORÇAMENTO!N$15,ROW(D52)-ROW(D$15),0)</f>
        <v>Nível 2</v>
      </c>
      <c r="E52" s="205" t="str">
        <f ca="1">OFFSET(ORÇAMENTO!O$15,ROW(E52)-ROW(E$15),0)</f>
        <v>1.4.</v>
      </c>
      <c r="F52" s="206" t="str">
        <f ca="1">OFFSET(ORÇAMENTO!R$15,ROW(F52)-ROW(F$15),0)</f>
        <v>PINTURAS E TEXTURAS</v>
      </c>
      <c r="G52" s="207" t="str">
        <f ca="1">IF($D52&lt;&gt;"Serviço","",OFFSET(ORÇAMENTO!S$15,ROW(G52)-ROW(G$15),0))</f>
        <v/>
      </c>
      <c r="H52" s="151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1"/>
      <c r="K52" s="208"/>
      <c r="L52" s="209" t="s">
        <v>254</v>
      </c>
      <c r="M52" s="210" t="str">
        <f ca="1">IF($D52&lt;&gt;"Serviço","",IF(AUTOEVENTO="manual",$A52,IF(ISERROR(MATCH($A52,$A$15:OFFSET($A52,-1,0),0)),MAX($M$15:OFFSET(M52,-1,0))+1,INDEX($M$15:OFFSET(M52,-1,0),MATCH($A52,$A$15:OFFSET($A52,-1,0),0)))))</f>
        <v/>
      </c>
      <c r="N52" s="211" t="str">
        <f ca="1">IF($D52&lt;&gt;"Serviço","",IF(AUTOEVENTO="Manual",IF($A52=0,"&lt;-- defina o número do agrupador",OFFSET(EVENTOS!$D$14,$A52,0)),OFFSET($F$15,$A52,0)))</f>
        <v/>
      </c>
      <c r="O52" s="212"/>
      <c r="Q52" s="212"/>
      <c r="R52" s="213"/>
      <c r="S52" s="213"/>
      <c r="T52" s="213"/>
      <c r="U52" s="213"/>
      <c r="V52" s="213"/>
      <c r="W52" s="213"/>
      <c r="X52" s="213"/>
      <c r="Y52" s="213"/>
      <c r="Z52" s="214"/>
      <c r="AB52" s="592">
        <f ca="1">IF(AND($D52="Serviço",AB$12&lt;&gt;0,$H52&gt;0,OR(AUTOEVENTO&lt;&gt;"manual",$M52&lt;&gt;1)),ROUND(OFFSET($P52,0,AB$13),15-13*ORÇAMENTO!$AF$7)/$H52*OFFSET(ORÇAMENTO!$X$15,ROW(AB52)-ROW(AB$15),0),0)</f>
        <v>0</v>
      </c>
      <c r="AC52" s="593">
        <f ca="1">IF(AND($D52="Serviço",AC$12&lt;&gt;0,$H52&gt;0,OR(AUTOEVENTO&lt;&gt;"manual",$M52&lt;&gt;1)),ROUND(OFFSET($P52,0,AC$13),15-13*ORÇAMENTO!$AF$7)/$H52*OFFSET(ORÇAMENTO!$X$15,ROW(AC52)-ROW(AC$15),0),0)</f>
        <v>0</v>
      </c>
      <c r="AD52" s="593">
        <f ca="1">IF(AND($D52="Serviço",AD$12&lt;&gt;0,$H52&gt;0,OR(AUTOEVENTO&lt;&gt;"manual",$M52&lt;&gt;1)),ROUND(OFFSET($P52,0,AD$13),15-13*ORÇAMENTO!$AF$7)/$H52*OFFSET(ORÇAMENTO!$X$15,ROW(AD52)-ROW(AD$15),0),0)</f>
        <v>0</v>
      </c>
      <c r="AE52" s="593">
        <f ca="1">IF(AND($D52="Serviço",AE$12&lt;&gt;0,$H52&gt;0,OR(AUTOEVENTO&lt;&gt;"manual",$M52&lt;&gt;1)),ROUND(OFFSET($P52,0,AE$13),15-13*ORÇAMENTO!$AF$7)/$H52*OFFSET(ORÇAMENTO!$X$15,ROW(AE52)-ROW(AE$15),0),0)</f>
        <v>0</v>
      </c>
      <c r="AF52" s="593">
        <f ca="1">IF(AND($D52="Serviço",AF$12&lt;&gt;0,$H52&gt;0,OR(AUTOEVENTO&lt;&gt;"manual",$M52&lt;&gt;1)),ROUND(OFFSET($P52,0,AF$13),15-13*ORÇAMENTO!$AF$7)/$H52*OFFSET(ORÇAMENTO!$X$15,ROW(AF52)-ROW(AF$15),0),0)</f>
        <v>0</v>
      </c>
      <c r="AG52" s="593">
        <f ca="1">IF(AND($D52="Serviço",AG$12&lt;&gt;0,$H52&gt;0,OR(AUTOEVENTO&lt;&gt;"manual",$M52&lt;&gt;1)),ROUND(OFFSET($P52,0,AG$13),15-13*ORÇAMENTO!$AF$7)/$H52*OFFSET(ORÇAMENTO!$X$15,ROW(AG52)-ROW(AG$15),0),0)</f>
        <v>0</v>
      </c>
      <c r="AH52" s="593">
        <f ca="1">IF(AND($D52="Serviço",AH$12&lt;&gt;0,$H52&gt;0,OR(AUTOEVENTO&lt;&gt;"manual",$M52&lt;&gt;1)),ROUND(OFFSET($P52,0,AH$13),15-13*ORÇAMENTO!$AF$7)/$H52*OFFSET(ORÇAMENTO!$X$15,ROW(AH52)-ROW(AH$15),0),0)</f>
        <v>0</v>
      </c>
      <c r="AI52" s="593">
        <f ca="1">IF(AND($D52="Serviço",AI$12&lt;&gt;0,$H52&gt;0,OR(AUTOEVENTO&lt;&gt;"manual",$M52&lt;&gt;1)),ROUND(OFFSET($P52,0,AI$13),15-13*ORÇAMENTO!$AF$7)/$H52*OFFSET(ORÇAMENTO!$X$15,ROW(AI52)-ROW(AI$15),0),0)</f>
        <v>0</v>
      </c>
      <c r="AJ52" s="593">
        <f ca="1">IF(AND($D52="Serviço",AJ$12&lt;&gt;0,$H52&gt;0,OR(AUTOEVENTO&lt;&gt;"manual",$M52&lt;&gt;1)),ROUND(OFFSET($P52,0,AJ$13),15-13*ORÇAMENTO!$AF$7)/$H52*OFFSET(ORÇAMENTO!$X$15,ROW(AJ52)-ROW(AJ$15),0),0)</f>
        <v>0</v>
      </c>
      <c r="AK52" s="594">
        <f ca="1">IF(AND($D52="Serviço",AK$12&lt;&gt;0,$H52&gt;0,OR(AUTOEVENTO&lt;&gt;"manual",$M52&lt;&gt;1)),ROUND(OFFSET($P52,0,AK$13),15-13*ORÇAMENTO!$AF$7)/$H52*OFFSET(ORÇAMENTO!$X$15,ROW(AK52)-ROW(AK$15),0),0)</f>
        <v>0</v>
      </c>
      <c r="AM52" s="215">
        <f ca="1">IF($D52&lt;&gt;"Serviço",0,IF(AND(AUTOEVENTO="Manual",$M52=1),0,IF(OFFSET(CRONOPLE!$F$14,$M52,AM$13)="",10^12,OFFSET(CRONOPLE!$F$14,$M52,AM$13))))</f>
        <v>0</v>
      </c>
      <c r="AN52" s="215">
        <f ca="1">IF($D52&lt;&gt;"Serviço",0,IF(AND(AUTOEVENTO="Manual",$M52=1),0,IF(OFFSET(CRONOPLE!$F$14,$M52,AN$13)="",10^12,OFFSET(CRONOPLE!$F$14,$M52,AN$13))))</f>
        <v>0</v>
      </c>
      <c r="AO52" s="215">
        <f ca="1">IF($D52&lt;&gt;"Serviço",0,IF(AND(AUTOEVENTO="Manual",$M52=1),0,IF(OFFSET(CRONOPLE!$F$14,$M52,AO$13)="",10^12,OFFSET(CRONOPLE!$F$14,$M52,AO$13))))</f>
        <v>0</v>
      </c>
      <c r="AP52" s="215">
        <f ca="1">IF($D52&lt;&gt;"Serviço",0,IF(AND(AUTOEVENTO="Manual",$M52=1),0,IF(OFFSET(CRONOPLE!$F$14,$M52,AP$13)="",10^12,OFFSET(CRONOPLE!$F$14,$M52,AP$13))))</f>
        <v>0</v>
      </c>
      <c r="AQ52" s="215">
        <f ca="1">IF($D52&lt;&gt;"Serviço",0,IF(AND(AUTOEVENTO="Manual",$M52=1),0,IF(OFFSET(CRONOPLE!$F$14,$M52,AQ$13)="",10^12,OFFSET(CRONOPLE!$F$14,$M52,AQ$13))))</f>
        <v>0</v>
      </c>
      <c r="AR52" s="215">
        <f ca="1">IF($D52&lt;&gt;"Serviço",0,IF(AND(AUTOEVENTO="Manual",$M52=1),0,IF(OFFSET(CRONOPLE!$F$14,$M52,AR$13)="",10^12,OFFSET(CRONOPLE!$F$14,$M52,AR$13))))</f>
        <v>0</v>
      </c>
      <c r="AS52" s="215">
        <f ca="1">IF($D52&lt;&gt;"Serviço",0,IF(AND(AUTOEVENTO="Manual",$M52=1),0,IF(OFFSET(CRONOPLE!$F$14,$M52,AS$13)="",10^12,OFFSET(CRONOPLE!$F$14,$M52,AS$13))))</f>
        <v>0</v>
      </c>
      <c r="AT52" s="215">
        <f ca="1">IF($D52&lt;&gt;"Serviço",0,IF(AND(AUTOEVENTO="Manual",$M52=1),0,IF(OFFSET(CRONOPLE!$F$14,$M52,AT$13)="",10^12,OFFSET(CRONOPLE!$F$14,$M52,AT$13))))</f>
        <v>0</v>
      </c>
      <c r="AU52" s="215">
        <f ca="1">IF($D52&lt;&gt;"Serviço",0,IF(AND(AUTOEVENTO="Manual",$M52=1),0,IF(OFFSET(CRONOPLE!$F$14,$M52,AU$13)="",10^12,OFFSET(CRONOPLE!$F$14,$M52,AU$13))))</f>
        <v>0</v>
      </c>
      <c r="AV52" s="215">
        <f ca="1">IF($D52&lt;&gt;"Serviço",0,IF(AND(AUTOEVENTO="Manual",$M52=1),0,IF(OFFSET(CRONOPLE!$F$14,$M52,AV$13)="",10^12,OFFSET(CRONOPLE!$F$14,$M52,AV$13))))</f>
        <v>0</v>
      </c>
      <c r="AX52" s="216">
        <f ca="1">IF($D52&lt;&gt;"Serviço",0,IF(OR(AND(AUTOEVENTO="Manual",$M52=1),$M52&gt;(ROW(PLE.lastrow)-ROW(PLE.firstrow))),0,IF(OFFSET(PLE!$G$14,$M52,AX$13)="",10^12,OFFSET(PLE!$G$14,$M52,AX$13))))</f>
        <v>0</v>
      </c>
      <c r="AY52" s="216">
        <f ca="1">IF($D52&lt;&gt;"Serviço",0,IF(OR(AND(AUTOEVENTO="Manual",$M52=1),$M52&gt;(ROW(PLE.lastrow)-ROW(PLE.firstrow))),0,IF(OFFSET(PLE!$G$14,$M52,AY$13)="",10^12,OFFSET(PLE!$G$14,$M52,AY$13))))</f>
        <v>0</v>
      </c>
      <c r="AZ52" s="216">
        <f ca="1">IF($D52&lt;&gt;"Serviço",0,IF(OR(AND(AUTOEVENTO="Manual",$M52=1),$M52&gt;(ROW(PLE.lastrow)-ROW(PLE.firstrow))),0,IF(OFFSET(PLE!$G$14,$M52,AZ$13)="",10^12,OFFSET(PLE!$G$14,$M52,AZ$13))))</f>
        <v>0</v>
      </c>
      <c r="BA52" s="216">
        <f ca="1">IF($D52&lt;&gt;"Serviço",0,IF(OR(AND(AUTOEVENTO="Manual",$M52=1),$M52&gt;(ROW(PLE.lastrow)-ROW(PLE.firstrow))),0,IF(OFFSET(PLE!$G$14,$M52,BA$13)="",10^12,OFFSET(PLE!$G$14,$M52,BA$13))))</f>
        <v>0</v>
      </c>
      <c r="BB52" s="216">
        <f ca="1">IF($D52&lt;&gt;"Serviço",0,IF(OR(AND(AUTOEVENTO="Manual",$M52=1),$M52&gt;(ROW(PLE.lastrow)-ROW(PLE.firstrow))),0,IF(OFFSET(PLE!$G$14,$M52,BB$13)="",10^12,OFFSET(PLE!$G$14,$M52,BB$13))))</f>
        <v>0</v>
      </c>
      <c r="BC52" s="216">
        <f ca="1">IF($D52&lt;&gt;"Serviço",0,IF(OR(AND(AUTOEVENTO="Manual",$M52=1),$M52&gt;(ROW(PLE.lastrow)-ROW(PLE.firstrow))),0,IF(OFFSET(PLE!$G$14,$M52,BC$13)="",10^12,OFFSET(PLE!$G$14,$M52,BC$13))))</f>
        <v>0</v>
      </c>
      <c r="BD52" s="216">
        <f ca="1">IF($D52&lt;&gt;"Serviço",0,IF(OR(AND(AUTOEVENTO="Manual",$M52=1),$M52&gt;(ROW(PLE.lastrow)-ROW(PLE.firstrow))),0,IF(OFFSET(PLE!$G$14,$M52,BD$13)="",10^12,OFFSET(PLE!$G$14,$M52,BD$13))))</f>
        <v>0</v>
      </c>
      <c r="BE52" s="216">
        <f ca="1">IF($D52&lt;&gt;"Serviço",0,IF(OR(AND(AUTOEVENTO="Manual",$M52=1),$M52&gt;(ROW(PLE.lastrow)-ROW(PLE.firstrow))),0,IF(OFFSET(PLE!$G$14,$M52,BE$13)="",10^12,OFFSET(PLE!$G$14,$M52,BE$13))))</f>
        <v>0</v>
      </c>
      <c r="BF52" s="216">
        <f ca="1">IF($D52&lt;&gt;"Serviço",0,IF(OR(AND(AUTOEVENTO="Manual",$M52=1),$M52&gt;(ROW(PLE.lastrow)-ROW(PLE.firstrow))),0,IF(OFFSET(PLE!$G$14,$M52,BF$13)="",10^12,OFFSET(PLE!$G$14,$M52,BF$13))))</f>
        <v>0</v>
      </c>
      <c r="BG52" s="216">
        <f ca="1">IF($D52&lt;&gt;"Serviço",0,IF(OR(AND(AUTOEVENTO="Manual",$M52=1),$M52&gt;(ROW(PLE.lastrow)-ROW(PLE.firstrow))),0,IF(OFFSET(PLE!$G$14,$M52,BG$13)="",10^12,OFFSET(PLE!$G$14,$M52,BG$13))))</f>
        <v>0</v>
      </c>
    </row>
    <row r="53" spans="1:59" ht="12.75" x14ac:dyDescent="0.2">
      <c r="A53" s="9" t="str">
        <f t="shared" ca="1" si="8"/>
        <v>37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5" t="str">
        <f ca="1">OFFSET(ORÇAMENTO!N$15,ROW(D53)-ROW(D$15),0)</f>
        <v>Serviço</v>
      </c>
      <c r="E53" s="205" t="str">
        <f ca="1">OFFSET(ORÇAMENTO!O$15,ROW(E53)-ROW(E$15),0)</f>
        <v>-</v>
      </c>
      <c r="F53" s="206" t="str">
        <f ca="1">OFFSET(ORÇAMENTO!R$15,ROW(F53)-ROW(F$15),0)</f>
        <v>(abra o arquivo 'Referência 05-2023.xls)</v>
      </c>
      <c r="G53" s="207" t="str">
        <f ca="1">IF($D53&lt;&gt;"Serviço","",OFFSET(ORÇAMENTO!S$15,ROW(G53)-ROW(G$15),0))</f>
        <v>-</v>
      </c>
      <c r="H53" s="151">
        <f ca="1">IF($D53&lt;&gt;"Serviço",0,IF(ACOMPANHAMENTO="BM",ROUND(OFFSET(ORÇAMENTO!AJ$15,ROW(H53)-ROW(H$15),0),15-13*ORÇAMENTO!$AF$7),SUMPRODUCT(($Q$12:$AA$12&lt;&gt;"")*ROUND($Q53:$AA53,15-13*ORÇAMENTO!$AF$7))))</f>
        <v>420</v>
      </c>
      <c r="I53" s="611"/>
      <c r="K53" s="208"/>
      <c r="L53" s="209" t="s">
        <v>254</v>
      </c>
      <c r="M53" s="210">
        <f ca="1">IF($D53&lt;&gt;"Serviço","",IF(AUTOEVENTO="manual",$A53,IF(ISERROR(MATCH($A53,$A$15:OFFSET($A53,-1,0),0)),MAX($M$15:OFFSET(M53,-1,0))+1,INDEX($M$15:OFFSET(M53,-1,0),MATCH($A53,$A$15:OFFSET($A53,-1,0),0)))))</f>
        <v>5</v>
      </c>
      <c r="N53" s="211" t="str">
        <f ca="1">IF($D53&lt;&gt;"Serviço","",IF(AUTOEVENTO="Manual",IF($A53=0,"&lt;-- defina o número do agrupador",OFFSET(EVENTOS!$D$14,$A53,0)),OFFSET($F$15,$A53,0)))</f>
        <v>PINTURAS E TEXTURAS</v>
      </c>
      <c r="O53" s="212"/>
      <c r="Q53" s="212"/>
      <c r="R53" s="213"/>
      <c r="S53" s="213"/>
      <c r="T53" s="213"/>
      <c r="U53" s="213"/>
      <c r="V53" s="213"/>
      <c r="W53" s="213"/>
      <c r="X53" s="213"/>
      <c r="Y53" s="213"/>
      <c r="Z53" s="214"/>
      <c r="AB53" s="592">
        <f ca="1">IF(AND($D53="Serviço",AB$12&lt;&gt;0,$H53&gt;0,OR(AUTOEVENTO&lt;&gt;"manual",$M53&lt;&gt;1)),ROUND(OFFSET($P53,0,AB$13),15-13*ORÇAMENTO!$AF$7)/$H53*OFFSET(ORÇAMENTO!$X$15,ROW(AB53)-ROW(AB$15),0),0)</f>
        <v>0</v>
      </c>
      <c r="AC53" s="593">
        <f ca="1">IF(AND($D53="Serviço",AC$12&lt;&gt;0,$H53&gt;0,OR(AUTOEVENTO&lt;&gt;"manual",$M53&lt;&gt;1)),ROUND(OFFSET($P53,0,AC$13),15-13*ORÇAMENTO!$AF$7)/$H53*OFFSET(ORÇAMENTO!$X$15,ROW(AC53)-ROW(AC$15),0),0)</f>
        <v>0</v>
      </c>
      <c r="AD53" s="593">
        <f ca="1">IF(AND($D53="Serviço",AD$12&lt;&gt;0,$H53&gt;0,OR(AUTOEVENTO&lt;&gt;"manual",$M53&lt;&gt;1)),ROUND(OFFSET($P53,0,AD$13),15-13*ORÇAMENTO!$AF$7)/$H53*OFFSET(ORÇAMENTO!$X$15,ROW(AD53)-ROW(AD$15),0),0)</f>
        <v>0</v>
      </c>
      <c r="AE53" s="593">
        <f ca="1">IF(AND($D53="Serviço",AE$12&lt;&gt;0,$H53&gt;0,OR(AUTOEVENTO&lt;&gt;"manual",$M53&lt;&gt;1)),ROUND(OFFSET($P53,0,AE$13),15-13*ORÇAMENTO!$AF$7)/$H53*OFFSET(ORÇAMENTO!$X$15,ROW(AE53)-ROW(AE$15),0),0)</f>
        <v>0</v>
      </c>
      <c r="AF53" s="593">
        <f ca="1">IF(AND($D53="Serviço",AF$12&lt;&gt;0,$H53&gt;0,OR(AUTOEVENTO&lt;&gt;"manual",$M53&lt;&gt;1)),ROUND(OFFSET($P53,0,AF$13),15-13*ORÇAMENTO!$AF$7)/$H53*OFFSET(ORÇAMENTO!$X$15,ROW(AF53)-ROW(AF$15),0),0)</f>
        <v>0</v>
      </c>
      <c r="AG53" s="593">
        <f ca="1">IF(AND($D53="Serviço",AG$12&lt;&gt;0,$H53&gt;0,OR(AUTOEVENTO&lt;&gt;"manual",$M53&lt;&gt;1)),ROUND(OFFSET($P53,0,AG$13),15-13*ORÇAMENTO!$AF$7)/$H53*OFFSET(ORÇAMENTO!$X$15,ROW(AG53)-ROW(AG$15),0),0)</f>
        <v>0</v>
      </c>
      <c r="AH53" s="593">
        <f ca="1">IF(AND($D53="Serviço",AH$12&lt;&gt;0,$H53&gt;0,OR(AUTOEVENTO&lt;&gt;"manual",$M53&lt;&gt;1)),ROUND(OFFSET($P53,0,AH$13),15-13*ORÇAMENTO!$AF$7)/$H53*OFFSET(ORÇAMENTO!$X$15,ROW(AH53)-ROW(AH$15),0),0)</f>
        <v>0</v>
      </c>
      <c r="AI53" s="593">
        <f ca="1">IF(AND($D53="Serviço",AI$12&lt;&gt;0,$H53&gt;0,OR(AUTOEVENTO&lt;&gt;"manual",$M53&lt;&gt;1)),ROUND(OFFSET($P53,0,AI$13),15-13*ORÇAMENTO!$AF$7)/$H53*OFFSET(ORÇAMENTO!$X$15,ROW(AI53)-ROW(AI$15),0),0)</f>
        <v>0</v>
      </c>
      <c r="AJ53" s="593">
        <f ca="1">IF(AND($D53="Serviço",AJ$12&lt;&gt;0,$H53&gt;0,OR(AUTOEVENTO&lt;&gt;"manual",$M53&lt;&gt;1)),ROUND(OFFSET($P53,0,AJ$13),15-13*ORÇAMENTO!$AF$7)/$H53*OFFSET(ORÇAMENTO!$X$15,ROW(AJ53)-ROW(AJ$15),0),0)</f>
        <v>0</v>
      </c>
      <c r="AK53" s="594">
        <f ca="1">IF(AND($D53="Serviço",AK$12&lt;&gt;0,$H53&gt;0,OR(AUTOEVENTO&lt;&gt;"manual",$M53&lt;&gt;1)),ROUND(OFFSET($P53,0,AK$13),15-13*ORÇAMENTO!$AF$7)/$H53*OFFSET(ORÇAMENTO!$X$15,ROW(AK53)-ROW(AK$15),0),0)</f>
        <v>0</v>
      </c>
      <c r="AM53" s="215">
        <f ca="1">IF($D53&lt;&gt;"Serviço",0,IF(AND(AUTOEVENTO="Manual",$M53=1),0,IF(OFFSET(CRONOPLE!$F$14,$M53,AM$13)="",10^12,OFFSET(CRONOPLE!$F$14,$M53,AM$13))))</f>
        <v>2</v>
      </c>
      <c r="AN53" s="215">
        <f ca="1">IF($D53&lt;&gt;"Serviço",0,IF(AND(AUTOEVENTO="Manual",$M53=1),0,IF(OFFSET(CRONOPLE!$F$14,$M53,AN$13)="",10^12,OFFSET(CRONOPLE!$F$14,$M53,AN$13))))</f>
        <v>2</v>
      </c>
      <c r="AO53" s="215">
        <f ca="1">IF($D53&lt;&gt;"Serviço",0,IF(AND(AUTOEVENTO="Manual",$M53=1),0,IF(OFFSET(CRONOPLE!$F$14,$M53,AO$13)="",10^12,OFFSET(CRONOPLE!$F$14,$M53,AO$13))))</f>
        <v>3</v>
      </c>
      <c r="AP53" s="215">
        <f ca="1">IF($D53&lt;&gt;"Serviço",0,IF(AND(AUTOEVENTO="Manual",$M53=1),0,IF(OFFSET(CRONOPLE!$F$14,$M53,AP$13)="",10^12,OFFSET(CRONOPLE!$F$14,$M53,AP$13))))</f>
        <v>1000000000000</v>
      </c>
      <c r="AQ53" s="215">
        <f ca="1">IF($D53&lt;&gt;"Serviço",0,IF(AND(AUTOEVENTO="Manual",$M53=1),0,IF(OFFSET(CRONOPLE!$F$14,$M53,AQ$13)="",10^12,OFFSET(CRONOPLE!$F$14,$M53,AQ$13))))</f>
        <v>1000000000000</v>
      </c>
      <c r="AR53" s="215">
        <f ca="1">IF($D53&lt;&gt;"Serviço",0,IF(AND(AUTOEVENTO="Manual",$M53=1),0,IF(OFFSET(CRONOPLE!$F$14,$M53,AR$13)="",10^12,OFFSET(CRONOPLE!$F$14,$M53,AR$13))))</f>
        <v>1000000000000</v>
      </c>
      <c r="AS53" s="215">
        <f ca="1">IF($D53&lt;&gt;"Serviço",0,IF(AND(AUTOEVENTO="Manual",$M53=1),0,IF(OFFSET(CRONOPLE!$F$14,$M53,AS$13)="",10^12,OFFSET(CRONOPLE!$F$14,$M53,AS$13))))</f>
        <v>1000000000000</v>
      </c>
      <c r="AT53" s="215">
        <f ca="1">IF($D53&lt;&gt;"Serviço",0,IF(AND(AUTOEVENTO="Manual",$M53=1),0,IF(OFFSET(CRONOPLE!$F$14,$M53,AT$13)="",10^12,OFFSET(CRONOPLE!$F$14,$M53,AT$13))))</f>
        <v>1000000000000</v>
      </c>
      <c r="AU53" s="215">
        <f ca="1">IF($D53&lt;&gt;"Serviço",0,IF(AND(AUTOEVENTO="Manual",$M53=1),0,IF(OFFSET(CRONOPLE!$F$14,$M53,AU$13)="",10^12,OFFSET(CRONOPLE!$F$14,$M53,AU$13))))</f>
        <v>1000000000000</v>
      </c>
      <c r="AV53" s="215">
        <f ca="1">IF($D53&lt;&gt;"Serviço",0,IF(AND(AUTOEVENTO="Manual",$M53=1),0,IF(OFFSET(CRONOPLE!$F$14,$M53,AV$13)="",10^12,OFFSET(CRONOPLE!$F$14,$M53,AV$13))))</f>
        <v>1000000000000</v>
      </c>
      <c r="AX53" s="216">
        <f ca="1">IF($D53&lt;&gt;"Serviço",0,IF(OR(AND(AUTOEVENTO="Manual",$M53=1),$M53&gt;(ROW(PLE.lastrow)-ROW(PLE.firstrow))),0,IF(OFFSET(PLE!$G$14,$M53,AX$13)="",10^12,OFFSET(PLE!$G$14,$M53,AX$13))))</f>
        <v>1000000000000</v>
      </c>
      <c r="AY53" s="216">
        <f ca="1">IF($D53&lt;&gt;"Serviço",0,IF(OR(AND(AUTOEVENTO="Manual",$M53=1),$M53&gt;(ROW(PLE.lastrow)-ROW(PLE.firstrow))),0,IF(OFFSET(PLE!$G$14,$M53,AY$13)="",10^12,OFFSET(PLE!$G$14,$M53,AY$13))))</f>
        <v>1000000000000</v>
      </c>
      <c r="AZ53" s="216">
        <f ca="1">IF($D53&lt;&gt;"Serviço",0,IF(OR(AND(AUTOEVENTO="Manual",$M53=1),$M53&gt;(ROW(PLE.lastrow)-ROW(PLE.firstrow))),0,IF(OFFSET(PLE!$G$14,$M53,AZ$13)="",10^12,OFFSET(PLE!$G$14,$M53,AZ$13))))</f>
        <v>1000000000000</v>
      </c>
      <c r="BA53" s="216">
        <f ca="1">IF($D53&lt;&gt;"Serviço",0,IF(OR(AND(AUTOEVENTO="Manual",$M53=1),$M53&gt;(ROW(PLE.lastrow)-ROW(PLE.firstrow))),0,IF(OFFSET(PLE!$G$14,$M53,BA$13)="",10^12,OFFSET(PLE!$G$14,$M53,BA$13))))</f>
        <v>1000000000000</v>
      </c>
      <c r="BB53" s="216">
        <f ca="1">IF($D53&lt;&gt;"Serviço",0,IF(OR(AND(AUTOEVENTO="Manual",$M53=1),$M53&gt;(ROW(PLE.lastrow)-ROW(PLE.firstrow))),0,IF(OFFSET(PLE!$G$14,$M53,BB$13)="",10^12,OFFSET(PLE!$G$14,$M53,BB$13))))</f>
        <v>1000000000000</v>
      </c>
      <c r="BC53" s="216">
        <f ca="1">IF($D53&lt;&gt;"Serviço",0,IF(OR(AND(AUTOEVENTO="Manual",$M53=1),$M53&gt;(ROW(PLE.lastrow)-ROW(PLE.firstrow))),0,IF(OFFSET(PLE!$G$14,$M53,BC$13)="",10^12,OFFSET(PLE!$G$14,$M53,BC$13))))</f>
        <v>1000000000000</v>
      </c>
      <c r="BD53" s="216">
        <f ca="1">IF($D53&lt;&gt;"Serviço",0,IF(OR(AND(AUTOEVENTO="Manual",$M53=1),$M53&gt;(ROW(PLE.lastrow)-ROW(PLE.firstrow))),0,IF(OFFSET(PLE!$G$14,$M53,BD$13)="",10^12,OFFSET(PLE!$G$14,$M53,BD$13))))</f>
        <v>1000000000000</v>
      </c>
      <c r="BE53" s="216">
        <f ca="1">IF($D53&lt;&gt;"Serviço",0,IF(OR(AND(AUTOEVENTO="Manual",$M53=1),$M53&gt;(ROW(PLE.lastrow)-ROW(PLE.firstrow))),0,IF(OFFSET(PLE!$G$14,$M53,BE$13)="",10^12,OFFSET(PLE!$G$14,$M53,BE$13))))</f>
        <v>1000000000000</v>
      </c>
      <c r="BF53" s="216">
        <f ca="1">IF($D53&lt;&gt;"Serviço",0,IF(OR(AND(AUTOEVENTO="Manual",$M53=1),$M53&gt;(ROW(PLE.lastrow)-ROW(PLE.firstrow))),0,IF(OFFSET(PLE!$G$14,$M53,BF$13)="",10^12,OFFSET(PLE!$G$14,$M53,BF$13))))</f>
        <v>1000000000000</v>
      </c>
      <c r="BG53" s="216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37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5" t="str">
        <f ca="1">OFFSET(ORÇAMENTO!N$15,ROW(D54)-ROW(D$15),0)</f>
        <v>Serviço</v>
      </c>
      <c r="E54" s="205" t="str">
        <f ca="1">OFFSET(ORÇAMENTO!O$15,ROW(E54)-ROW(E$15),0)</f>
        <v>-</v>
      </c>
      <c r="F54" s="206" t="str">
        <f ca="1">OFFSET(ORÇAMENTO!R$15,ROW(F54)-ROW(F$15),0)</f>
        <v>(abra o arquivo 'Referência 05-2023.xls)</v>
      </c>
      <c r="G54" s="207" t="str">
        <f ca="1">IF($D54&lt;&gt;"Serviço","",OFFSET(ORÇAMENTO!S$15,ROW(G54)-ROW(G$15),0))</f>
        <v>-</v>
      </c>
      <c r="H54" s="151">
        <f ca="1">IF($D54&lt;&gt;"Serviço",0,IF(ACOMPANHAMENTO="BM",ROUND(OFFSET(ORÇAMENTO!AJ$15,ROW(H54)-ROW(H$15),0),15-13*ORÇAMENTO!$AF$7),SUMPRODUCT(($Q$12:$AA$12&lt;&gt;"")*ROUND($Q54:$AA54,15-13*ORÇAMENTO!$AF$7))))</f>
        <v>400</v>
      </c>
      <c r="I54" s="611"/>
      <c r="K54" s="208"/>
      <c r="L54" s="209" t="s">
        <v>254</v>
      </c>
      <c r="M54" s="210">
        <f ca="1">IF($D54&lt;&gt;"Serviço","",IF(AUTOEVENTO="manual",$A54,IF(ISERROR(MATCH($A54,$A$15:OFFSET($A54,-1,0),0)),MAX($M$15:OFFSET(M54,-1,0))+1,INDEX($M$15:OFFSET(M54,-1,0),MATCH($A54,$A$15:OFFSET($A54,-1,0),0)))))</f>
        <v>5</v>
      </c>
      <c r="N54" s="211" t="str">
        <f ca="1">IF($D54&lt;&gt;"Serviço","",IF(AUTOEVENTO="Manual",IF($A54=0,"&lt;-- defina o número do agrupador",OFFSET(EVENTOS!$D$14,$A54,0)),OFFSET($F$15,$A54,0)))</f>
        <v>PINTURAS E TEXTURAS</v>
      </c>
      <c r="O54" s="212"/>
      <c r="Q54" s="212"/>
      <c r="R54" s="213"/>
      <c r="S54" s="213"/>
      <c r="T54" s="213"/>
      <c r="U54" s="213"/>
      <c r="V54" s="213"/>
      <c r="W54" s="213"/>
      <c r="X54" s="213"/>
      <c r="Y54" s="213"/>
      <c r="Z54" s="214"/>
      <c r="AB54" s="592">
        <f ca="1">IF(AND($D54="Serviço",AB$12&lt;&gt;0,$H54&gt;0,OR(AUTOEVENTO&lt;&gt;"manual",$M54&lt;&gt;1)),ROUND(OFFSET($P54,0,AB$13),15-13*ORÇAMENTO!$AF$7)/$H54*OFFSET(ORÇAMENTO!$X$15,ROW(AB54)-ROW(AB$15),0),0)</f>
        <v>0</v>
      </c>
      <c r="AC54" s="593">
        <f ca="1">IF(AND($D54="Serviço",AC$12&lt;&gt;0,$H54&gt;0,OR(AUTOEVENTO&lt;&gt;"manual",$M54&lt;&gt;1)),ROUND(OFFSET($P54,0,AC$13),15-13*ORÇAMENTO!$AF$7)/$H54*OFFSET(ORÇAMENTO!$X$15,ROW(AC54)-ROW(AC$15),0),0)</f>
        <v>0</v>
      </c>
      <c r="AD54" s="593">
        <f ca="1">IF(AND($D54="Serviço",AD$12&lt;&gt;0,$H54&gt;0,OR(AUTOEVENTO&lt;&gt;"manual",$M54&lt;&gt;1)),ROUND(OFFSET($P54,0,AD$13),15-13*ORÇAMENTO!$AF$7)/$H54*OFFSET(ORÇAMENTO!$X$15,ROW(AD54)-ROW(AD$15),0),0)</f>
        <v>0</v>
      </c>
      <c r="AE54" s="593">
        <f ca="1">IF(AND($D54="Serviço",AE$12&lt;&gt;0,$H54&gt;0,OR(AUTOEVENTO&lt;&gt;"manual",$M54&lt;&gt;1)),ROUND(OFFSET($P54,0,AE$13),15-13*ORÇAMENTO!$AF$7)/$H54*OFFSET(ORÇAMENTO!$X$15,ROW(AE54)-ROW(AE$15),0),0)</f>
        <v>0</v>
      </c>
      <c r="AF54" s="593">
        <f ca="1">IF(AND($D54="Serviço",AF$12&lt;&gt;0,$H54&gt;0,OR(AUTOEVENTO&lt;&gt;"manual",$M54&lt;&gt;1)),ROUND(OFFSET($P54,0,AF$13),15-13*ORÇAMENTO!$AF$7)/$H54*OFFSET(ORÇAMENTO!$X$15,ROW(AF54)-ROW(AF$15),0),0)</f>
        <v>0</v>
      </c>
      <c r="AG54" s="593">
        <f ca="1">IF(AND($D54="Serviço",AG$12&lt;&gt;0,$H54&gt;0,OR(AUTOEVENTO&lt;&gt;"manual",$M54&lt;&gt;1)),ROUND(OFFSET($P54,0,AG$13),15-13*ORÇAMENTO!$AF$7)/$H54*OFFSET(ORÇAMENTO!$X$15,ROW(AG54)-ROW(AG$15),0),0)</f>
        <v>0</v>
      </c>
      <c r="AH54" s="593">
        <f ca="1">IF(AND($D54="Serviço",AH$12&lt;&gt;0,$H54&gt;0,OR(AUTOEVENTO&lt;&gt;"manual",$M54&lt;&gt;1)),ROUND(OFFSET($P54,0,AH$13),15-13*ORÇAMENTO!$AF$7)/$H54*OFFSET(ORÇAMENTO!$X$15,ROW(AH54)-ROW(AH$15),0),0)</f>
        <v>0</v>
      </c>
      <c r="AI54" s="593">
        <f ca="1">IF(AND($D54="Serviço",AI$12&lt;&gt;0,$H54&gt;0,OR(AUTOEVENTO&lt;&gt;"manual",$M54&lt;&gt;1)),ROUND(OFFSET($P54,0,AI$13),15-13*ORÇAMENTO!$AF$7)/$H54*OFFSET(ORÇAMENTO!$X$15,ROW(AI54)-ROW(AI$15),0),0)</f>
        <v>0</v>
      </c>
      <c r="AJ54" s="593">
        <f ca="1">IF(AND($D54="Serviço",AJ$12&lt;&gt;0,$H54&gt;0,OR(AUTOEVENTO&lt;&gt;"manual",$M54&lt;&gt;1)),ROUND(OFFSET($P54,0,AJ$13),15-13*ORÇAMENTO!$AF$7)/$H54*OFFSET(ORÇAMENTO!$X$15,ROW(AJ54)-ROW(AJ$15),0),0)</f>
        <v>0</v>
      </c>
      <c r="AK54" s="594">
        <f ca="1">IF(AND($D54="Serviço",AK$12&lt;&gt;0,$H54&gt;0,OR(AUTOEVENTO&lt;&gt;"manual",$M54&lt;&gt;1)),ROUND(OFFSET($P54,0,AK$13),15-13*ORÇAMENTO!$AF$7)/$H54*OFFSET(ORÇAMENTO!$X$15,ROW(AK54)-ROW(AK$15),0),0)</f>
        <v>0</v>
      </c>
      <c r="AM54" s="215">
        <f ca="1">IF($D54&lt;&gt;"Serviço",0,IF(AND(AUTOEVENTO="Manual",$M54=1),0,IF(OFFSET(CRONOPLE!$F$14,$M54,AM$13)="",10^12,OFFSET(CRONOPLE!$F$14,$M54,AM$13))))</f>
        <v>2</v>
      </c>
      <c r="AN54" s="215">
        <f ca="1">IF($D54&lt;&gt;"Serviço",0,IF(AND(AUTOEVENTO="Manual",$M54=1),0,IF(OFFSET(CRONOPLE!$F$14,$M54,AN$13)="",10^12,OFFSET(CRONOPLE!$F$14,$M54,AN$13))))</f>
        <v>2</v>
      </c>
      <c r="AO54" s="215">
        <f ca="1">IF($D54&lt;&gt;"Serviço",0,IF(AND(AUTOEVENTO="Manual",$M54=1),0,IF(OFFSET(CRONOPLE!$F$14,$M54,AO$13)="",10^12,OFFSET(CRONOPLE!$F$14,$M54,AO$13))))</f>
        <v>3</v>
      </c>
      <c r="AP54" s="215">
        <f ca="1">IF($D54&lt;&gt;"Serviço",0,IF(AND(AUTOEVENTO="Manual",$M54=1),0,IF(OFFSET(CRONOPLE!$F$14,$M54,AP$13)="",10^12,OFFSET(CRONOPLE!$F$14,$M54,AP$13))))</f>
        <v>1000000000000</v>
      </c>
      <c r="AQ54" s="215">
        <f ca="1">IF($D54&lt;&gt;"Serviço",0,IF(AND(AUTOEVENTO="Manual",$M54=1),0,IF(OFFSET(CRONOPLE!$F$14,$M54,AQ$13)="",10^12,OFFSET(CRONOPLE!$F$14,$M54,AQ$13))))</f>
        <v>1000000000000</v>
      </c>
      <c r="AR54" s="215">
        <f ca="1">IF($D54&lt;&gt;"Serviço",0,IF(AND(AUTOEVENTO="Manual",$M54=1),0,IF(OFFSET(CRONOPLE!$F$14,$M54,AR$13)="",10^12,OFFSET(CRONOPLE!$F$14,$M54,AR$13))))</f>
        <v>1000000000000</v>
      </c>
      <c r="AS54" s="215">
        <f ca="1">IF($D54&lt;&gt;"Serviço",0,IF(AND(AUTOEVENTO="Manual",$M54=1),0,IF(OFFSET(CRONOPLE!$F$14,$M54,AS$13)="",10^12,OFFSET(CRONOPLE!$F$14,$M54,AS$13))))</f>
        <v>1000000000000</v>
      </c>
      <c r="AT54" s="215">
        <f ca="1">IF($D54&lt;&gt;"Serviço",0,IF(AND(AUTOEVENTO="Manual",$M54=1),0,IF(OFFSET(CRONOPLE!$F$14,$M54,AT$13)="",10^12,OFFSET(CRONOPLE!$F$14,$M54,AT$13))))</f>
        <v>1000000000000</v>
      </c>
      <c r="AU54" s="215">
        <f ca="1">IF($D54&lt;&gt;"Serviço",0,IF(AND(AUTOEVENTO="Manual",$M54=1),0,IF(OFFSET(CRONOPLE!$F$14,$M54,AU$13)="",10^12,OFFSET(CRONOPLE!$F$14,$M54,AU$13))))</f>
        <v>1000000000000</v>
      </c>
      <c r="AV54" s="215">
        <f ca="1">IF($D54&lt;&gt;"Serviço",0,IF(AND(AUTOEVENTO="Manual",$M54=1),0,IF(OFFSET(CRONOPLE!$F$14,$M54,AV$13)="",10^12,OFFSET(CRONOPLE!$F$14,$M54,AV$13))))</f>
        <v>1000000000000</v>
      </c>
      <c r="AX54" s="216">
        <f ca="1">IF($D54&lt;&gt;"Serviço",0,IF(OR(AND(AUTOEVENTO="Manual",$M54=1),$M54&gt;(ROW(PLE.lastrow)-ROW(PLE.firstrow))),0,IF(OFFSET(PLE!$G$14,$M54,AX$13)="",10^12,OFFSET(PLE!$G$14,$M54,AX$13))))</f>
        <v>1000000000000</v>
      </c>
      <c r="AY54" s="216">
        <f ca="1">IF($D54&lt;&gt;"Serviço",0,IF(OR(AND(AUTOEVENTO="Manual",$M54=1),$M54&gt;(ROW(PLE.lastrow)-ROW(PLE.firstrow))),0,IF(OFFSET(PLE!$G$14,$M54,AY$13)="",10^12,OFFSET(PLE!$G$14,$M54,AY$13))))</f>
        <v>1000000000000</v>
      </c>
      <c r="AZ54" s="216">
        <f ca="1">IF($D54&lt;&gt;"Serviço",0,IF(OR(AND(AUTOEVENTO="Manual",$M54=1),$M54&gt;(ROW(PLE.lastrow)-ROW(PLE.firstrow))),0,IF(OFFSET(PLE!$G$14,$M54,AZ$13)="",10^12,OFFSET(PLE!$G$14,$M54,AZ$13))))</f>
        <v>1000000000000</v>
      </c>
      <c r="BA54" s="216">
        <f ca="1">IF($D54&lt;&gt;"Serviço",0,IF(OR(AND(AUTOEVENTO="Manual",$M54=1),$M54&gt;(ROW(PLE.lastrow)-ROW(PLE.firstrow))),0,IF(OFFSET(PLE!$G$14,$M54,BA$13)="",10^12,OFFSET(PLE!$G$14,$M54,BA$13))))</f>
        <v>1000000000000</v>
      </c>
      <c r="BB54" s="216">
        <f ca="1">IF($D54&lt;&gt;"Serviço",0,IF(OR(AND(AUTOEVENTO="Manual",$M54=1),$M54&gt;(ROW(PLE.lastrow)-ROW(PLE.firstrow))),0,IF(OFFSET(PLE!$G$14,$M54,BB$13)="",10^12,OFFSET(PLE!$G$14,$M54,BB$13))))</f>
        <v>1000000000000</v>
      </c>
      <c r="BC54" s="216">
        <f ca="1">IF($D54&lt;&gt;"Serviço",0,IF(OR(AND(AUTOEVENTO="Manual",$M54=1),$M54&gt;(ROW(PLE.lastrow)-ROW(PLE.firstrow))),0,IF(OFFSET(PLE!$G$14,$M54,BC$13)="",10^12,OFFSET(PLE!$G$14,$M54,BC$13))))</f>
        <v>1000000000000</v>
      </c>
      <c r="BD54" s="216">
        <f ca="1">IF($D54&lt;&gt;"Serviço",0,IF(OR(AND(AUTOEVENTO="Manual",$M54=1),$M54&gt;(ROW(PLE.lastrow)-ROW(PLE.firstrow))),0,IF(OFFSET(PLE!$G$14,$M54,BD$13)="",10^12,OFFSET(PLE!$G$14,$M54,BD$13))))</f>
        <v>1000000000000</v>
      </c>
      <c r="BE54" s="216">
        <f ca="1">IF($D54&lt;&gt;"Serviço",0,IF(OR(AND(AUTOEVENTO="Manual",$M54=1),$M54&gt;(ROW(PLE.lastrow)-ROW(PLE.firstrow))),0,IF(OFFSET(PLE!$G$14,$M54,BE$13)="",10^12,OFFSET(PLE!$G$14,$M54,BE$13))))</f>
        <v>1000000000000</v>
      </c>
      <c r="BF54" s="216">
        <f ca="1">IF($D54&lt;&gt;"Serviço",0,IF(OR(AND(AUTOEVENTO="Manual",$M54=1),$M54&gt;(ROW(PLE.lastrow)-ROW(PLE.firstrow))),0,IF(OFFSET(PLE!$G$14,$M54,BF$13)="",10^12,OFFSET(PLE!$G$14,$M54,BF$13))))</f>
        <v>1000000000000</v>
      </c>
      <c r="BG54" s="216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x14ac:dyDescent="0.2">
      <c r="A55" s="9" t="str">
        <f t="shared" ca="1" si="8"/>
        <v>37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5" t="str">
        <f ca="1">OFFSET(ORÇAMENTO!N$15,ROW(D55)-ROW(D$15),0)</f>
        <v>Serviço</v>
      </c>
      <c r="E55" s="205" t="str">
        <f ca="1">OFFSET(ORÇAMENTO!O$15,ROW(E55)-ROW(E$15),0)</f>
        <v>-</v>
      </c>
      <c r="F55" s="206" t="str">
        <f ca="1">OFFSET(ORÇAMENTO!R$15,ROW(F55)-ROW(F$15),0)</f>
        <v>(abra o arquivo 'Referência 05-2023.xls)</v>
      </c>
      <c r="G55" s="207" t="str">
        <f ca="1">IF($D55&lt;&gt;"Serviço","",OFFSET(ORÇAMENTO!S$15,ROW(G55)-ROW(G$15),0))</f>
        <v>-</v>
      </c>
      <c r="H55" s="151">
        <f ca="1">IF($D55&lt;&gt;"Serviço",0,IF(ACOMPANHAMENTO="BM",ROUND(OFFSET(ORÇAMENTO!AJ$15,ROW(H55)-ROW(H$15),0),15-13*ORÇAMENTO!$AF$7),SUMPRODUCT(($Q$12:$AA$12&lt;&gt;"")*ROUND($Q55:$AA55,15-13*ORÇAMENTO!$AF$7))))</f>
        <v>1100</v>
      </c>
      <c r="I55" s="611"/>
      <c r="K55" s="208"/>
      <c r="L55" s="209" t="s">
        <v>254</v>
      </c>
      <c r="M55" s="210">
        <f ca="1">IF($D55&lt;&gt;"Serviço","",IF(AUTOEVENTO="manual",$A55,IF(ISERROR(MATCH($A55,$A$15:OFFSET($A55,-1,0),0)),MAX($M$15:OFFSET(M55,-1,0))+1,INDEX($M$15:OFFSET(M55,-1,0),MATCH($A55,$A$15:OFFSET($A55,-1,0),0)))))</f>
        <v>5</v>
      </c>
      <c r="N55" s="211" t="str">
        <f ca="1">IF($D55&lt;&gt;"Serviço","",IF(AUTOEVENTO="Manual",IF($A55=0,"&lt;-- defina o número do agrupador",OFFSET(EVENTOS!$D$14,$A55,0)),OFFSET($F$15,$A55,0)))</f>
        <v>PINTURAS E TEXTURAS</v>
      </c>
      <c r="O55" s="212"/>
      <c r="Q55" s="212"/>
      <c r="R55" s="213"/>
      <c r="S55" s="213"/>
      <c r="T55" s="213"/>
      <c r="U55" s="213"/>
      <c r="V55" s="213"/>
      <c r="W55" s="213"/>
      <c r="X55" s="213"/>
      <c r="Y55" s="213"/>
      <c r="Z55" s="214"/>
      <c r="AB55" s="592">
        <f ca="1">IF(AND($D55="Serviço",AB$12&lt;&gt;0,$H55&gt;0,OR(AUTOEVENTO&lt;&gt;"manual",$M55&lt;&gt;1)),ROUND(OFFSET($P55,0,AB$13),15-13*ORÇAMENTO!$AF$7)/$H55*OFFSET(ORÇAMENTO!$X$15,ROW(AB55)-ROW(AB$15),0),0)</f>
        <v>0</v>
      </c>
      <c r="AC55" s="593">
        <f ca="1">IF(AND($D55="Serviço",AC$12&lt;&gt;0,$H55&gt;0,OR(AUTOEVENTO&lt;&gt;"manual",$M55&lt;&gt;1)),ROUND(OFFSET($P55,0,AC$13),15-13*ORÇAMENTO!$AF$7)/$H55*OFFSET(ORÇAMENTO!$X$15,ROW(AC55)-ROW(AC$15),0),0)</f>
        <v>0</v>
      </c>
      <c r="AD55" s="593">
        <f ca="1">IF(AND($D55="Serviço",AD$12&lt;&gt;0,$H55&gt;0,OR(AUTOEVENTO&lt;&gt;"manual",$M55&lt;&gt;1)),ROUND(OFFSET($P55,0,AD$13),15-13*ORÇAMENTO!$AF$7)/$H55*OFFSET(ORÇAMENTO!$X$15,ROW(AD55)-ROW(AD$15),0),0)</f>
        <v>0</v>
      </c>
      <c r="AE55" s="593">
        <f ca="1">IF(AND($D55="Serviço",AE$12&lt;&gt;0,$H55&gt;0,OR(AUTOEVENTO&lt;&gt;"manual",$M55&lt;&gt;1)),ROUND(OFFSET($P55,0,AE$13),15-13*ORÇAMENTO!$AF$7)/$H55*OFFSET(ORÇAMENTO!$X$15,ROW(AE55)-ROW(AE$15),0),0)</f>
        <v>0</v>
      </c>
      <c r="AF55" s="593">
        <f ca="1">IF(AND($D55="Serviço",AF$12&lt;&gt;0,$H55&gt;0,OR(AUTOEVENTO&lt;&gt;"manual",$M55&lt;&gt;1)),ROUND(OFFSET($P55,0,AF$13),15-13*ORÇAMENTO!$AF$7)/$H55*OFFSET(ORÇAMENTO!$X$15,ROW(AF55)-ROW(AF$15),0),0)</f>
        <v>0</v>
      </c>
      <c r="AG55" s="593">
        <f ca="1">IF(AND($D55="Serviço",AG$12&lt;&gt;0,$H55&gt;0,OR(AUTOEVENTO&lt;&gt;"manual",$M55&lt;&gt;1)),ROUND(OFFSET($P55,0,AG$13),15-13*ORÇAMENTO!$AF$7)/$H55*OFFSET(ORÇAMENTO!$X$15,ROW(AG55)-ROW(AG$15),0),0)</f>
        <v>0</v>
      </c>
      <c r="AH55" s="593">
        <f ca="1">IF(AND($D55="Serviço",AH$12&lt;&gt;0,$H55&gt;0,OR(AUTOEVENTO&lt;&gt;"manual",$M55&lt;&gt;1)),ROUND(OFFSET($P55,0,AH$13),15-13*ORÇAMENTO!$AF$7)/$H55*OFFSET(ORÇAMENTO!$X$15,ROW(AH55)-ROW(AH$15),0),0)</f>
        <v>0</v>
      </c>
      <c r="AI55" s="593">
        <f ca="1">IF(AND($D55="Serviço",AI$12&lt;&gt;0,$H55&gt;0,OR(AUTOEVENTO&lt;&gt;"manual",$M55&lt;&gt;1)),ROUND(OFFSET($P55,0,AI$13),15-13*ORÇAMENTO!$AF$7)/$H55*OFFSET(ORÇAMENTO!$X$15,ROW(AI55)-ROW(AI$15),0),0)</f>
        <v>0</v>
      </c>
      <c r="AJ55" s="593">
        <f ca="1">IF(AND($D55="Serviço",AJ$12&lt;&gt;0,$H55&gt;0,OR(AUTOEVENTO&lt;&gt;"manual",$M55&lt;&gt;1)),ROUND(OFFSET($P55,0,AJ$13),15-13*ORÇAMENTO!$AF$7)/$H55*OFFSET(ORÇAMENTO!$X$15,ROW(AJ55)-ROW(AJ$15),0),0)</f>
        <v>0</v>
      </c>
      <c r="AK55" s="594">
        <f ca="1">IF(AND($D55="Serviço",AK$12&lt;&gt;0,$H55&gt;0,OR(AUTOEVENTO&lt;&gt;"manual",$M55&lt;&gt;1)),ROUND(OFFSET($P55,0,AK$13),15-13*ORÇAMENTO!$AF$7)/$H55*OFFSET(ORÇAMENTO!$X$15,ROW(AK55)-ROW(AK$15),0),0)</f>
        <v>0</v>
      </c>
      <c r="AM55" s="215">
        <f ca="1">IF($D55&lt;&gt;"Serviço",0,IF(AND(AUTOEVENTO="Manual",$M55=1),0,IF(OFFSET(CRONOPLE!$F$14,$M55,AM$13)="",10^12,OFFSET(CRONOPLE!$F$14,$M55,AM$13))))</f>
        <v>2</v>
      </c>
      <c r="AN55" s="215">
        <f ca="1">IF($D55&lt;&gt;"Serviço",0,IF(AND(AUTOEVENTO="Manual",$M55=1),0,IF(OFFSET(CRONOPLE!$F$14,$M55,AN$13)="",10^12,OFFSET(CRONOPLE!$F$14,$M55,AN$13))))</f>
        <v>2</v>
      </c>
      <c r="AO55" s="215">
        <f ca="1">IF($D55&lt;&gt;"Serviço",0,IF(AND(AUTOEVENTO="Manual",$M55=1),0,IF(OFFSET(CRONOPLE!$F$14,$M55,AO$13)="",10^12,OFFSET(CRONOPLE!$F$14,$M55,AO$13))))</f>
        <v>3</v>
      </c>
      <c r="AP55" s="215">
        <f ca="1">IF($D55&lt;&gt;"Serviço",0,IF(AND(AUTOEVENTO="Manual",$M55=1),0,IF(OFFSET(CRONOPLE!$F$14,$M55,AP$13)="",10^12,OFFSET(CRONOPLE!$F$14,$M55,AP$13))))</f>
        <v>1000000000000</v>
      </c>
      <c r="AQ55" s="215">
        <f ca="1">IF($D55&lt;&gt;"Serviço",0,IF(AND(AUTOEVENTO="Manual",$M55=1),0,IF(OFFSET(CRONOPLE!$F$14,$M55,AQ$13)="",10^12,OFFSET(CRONOPLE!$F$14,$M55,AQ$13))))</f>
        <v>1000000000000</v>
      </c>
      <c r="AR55" s="215">
        <f ca="1">IF($D55&lt;&gt;"Serviço",0,IF(AND(AUTOEVENTO="Manual",$M55=1),0,IF(OFFSET(CRONOPLE!$F$14,$M55,AR$13)="",10^12,OFFSET(CRONOPLE!$F$14,$M55,AR$13))))</f>
        <v>1000000000000</v>
      </c>
      <c r="AS55" s="215">
        <f ca="1">IF($D55&lt;&gt;"Serviço",0,IF(AND(AUTOEVENTO="Manual",$M55=1),0,IF(OFFSET(CRONOPLE!$F$14,$M55,AS$13)="",10^12,OFFSET(CRONOPLE!$F$14,$M55,AS$13))))</f>
        <v>1000000000000</v>
      </c>
      <c r="AT55" s="215">
        <f ca="1">IF($D55&lt;&gt;"Serviço",0,IF(AND(AUTOEVENTO="Manual",$M55=1),0,IF(OFFSET(CRONOPLE!$F$14,$M55,AT$13)="",10^12,OFFSET(CRONOPLE!$F$14,$M55,AT$13))))</f>
        <v>1000000000000</v>
      </c>
      <c r="AU55" s="215">
        <f ca="1">IF($D55&lt;&gt;"Serviço",0,IF(AND(AUTOEVENTO="Manual",$M55=1),0,IF(OFFSET(CRONOPLE!$F$14,$M55,AU$13)="",10^12,OFFSET(CRONOPLE!$F$14,$M55,AU$13))))</f>
        <v>1000000000000</v>
      </c>
      <c r="AV55" s="215">
        <f ca="1">IF($D55&lt;&gt;"Serviço",0,IF(AND(AUTOEVENTO="Manual",$M55=1),0,IF(OFFSET(CRONOPLE!$F$14,$M55,AV$13)="",10^12,OFFSET(CRONOPLE!$F$14,$M55,AV$13))))</f>
        <v>1000000000000</v>
      </c>
      <c r="AX55" s="216">
        <f ca="1">IF($D55&lt;&gt;"Serviço",0,IF(OR(AND(AUTOEVENTO="Manual",$M55=1),$M55&gt;(ROW(PLE.lastrow)-ROW(PLE.firstrow))),0,IF(OFFSET(PLE!$G$14,$M55,AX$13)="",10^12,OFFSET(PLE!$G$14,$M55,AX$13))))</f>
        <v>1000000000000</v>
      </c>
      <c r="AY55" s="216">
        <f ca="1">IF($D55&lt;&gt;"Serviço",0,IF(OR(AND(AUTOEVENTO="Manual",$M55=1),$M55&gt;(ROW(PLE.lastrow)-ROW(PLE.firstrow))),0,IF(OFFSET(PLE!$G$14,$M55,AY$13)="",10^12,OFFSET(PLE!$G$14,$M55,AY$13))))</f>
        <v>1000000000000</v>
      </c>
      <c r="AZ55" s="216">
        <f ca="1">IF($D55&lt;&gt;"Serviço",0,IF(OR(AND(AUTOEVENTO="Manual",$M55=1),$M55&gt;(ROW(PLE.lastrow)-ROW(PLE.firstrow))),0,IF(OFFSET(PLE!$G$14,$M55,AZ$13)="",10^12,OFFSET(PLE!$G$14,$M55,AZ$13))))</f>
        <v>1000000000000</v>
      </c>
      <c r="BA55" s="216">
        <f ca="1">IF($D55&lt;&gt;"Serviço",0,IF(OR(AND(AUTOEVENTO="Manual",$M55=1),$M55&gt;(ROW(PLE.lastrow)-ROW(PLE.firstrow))),0,IF(OFFSET(PLE!$G$14,$M55,BA$13)="",10^12,OFFSET(PLE!$G$14,$M55,BA$13))))</f>
        <v>1000000000000</v>
      </c>
      <c r="BB55" s="216">
        <f ca="1">IF($D55&lt;&gt;"Serviço",0,IF(OR(AND(AUTOEVENTO="Manual",$M55=1),$M55&gt;(ROW(PLE.lastrow)-ROW(PLE.firstrow))),0,IF(OFFSET(PLE!$G$14,$M55,BB$13)="",10^12,OFFSET(PLE!$G$14,$M55,BB$13))))</f>
        <v>1000000000000</v>
      </c>
      <c r="BC55" s="216">
        <f ca="1">IF($D55&lt;&gt;"Serviço",0,IF(OR(AND(AUTOEVENTO="Manual",$M55=1),$M55&gt;(ROW(PLE.lastrow)-ROW(PLE.firstrow))),0,IF(OFFSET(PLE!$G$14,$M55,BC$13)="",10^12,OFFSET(PLE!$G$14,$M55,BC$13))))</f>
        <v>1000000000000</v>
      </c>
      <c r="BD55" s="216">
        <f ca="1">IF($D55&lt;&gt;"Serviço",0,IF(OR(AND(AUTOEVENTO="Manual",$M55=1),$M55&gt;(ROW(PLE.lastrow)-ROW(PLE.firstrow))),0,IF(OFFSET(PLE!$G$14,$M55,BD$13)="",10^12,OFFSET(PLE!$G$14,$M55,BD$13))))</f>
        <v>1000000000000</v>
      </c>
      <c r="BE55" s="216">
        <f ca="1">IF($D55&lt;&gt;"Serviço",0,IF(OR(AND(AUTOEVENTO="Manual",$M55=1),$M55&gt;(ROW(PLE.lastrow)-ROW(PLE.firstrow))),0,IF(OFFSET(PLE!$G$14,$M55,BE$13)="",10^12,OFFSET(PLE!$G$14,$M55,BE$13))))</f>
        <v>1000000000000</v>
      </c>
      <c r="BF55" s="216">
        <f ca="1">IF($D55&lt;&gt;"Serviço",0,IF(OR(AND(AUTOEVENTO="Manual",$M55=1),$M55&gt;(ROW(PLE.lastrow)-ROW(PLE.firstrow))),0,IF(OFFSET(PLE!$G$14,$M55,BF$13)="",10^12,OFFSET(PLE!$G$14,$M55,BF$13))))</f>
        <v>1000000000000</v>
      </c>
      <c r="BG55" s="216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37</v>
      </c>
      <c r="B56" s="9" t="str">
        <f ca="1">OFFSET(ORÇAMENTO!C$15,ROW(B56)-ROW(B$15),0)</f>
        <v>S</v>
      </c>
      <c r="C56" s="9" t="str">
        <f ca="1">OFFSET(ORÇAMENTO!L$15,ROW(C56)-ROW(C$15),0)</f>
        <v>F</v>
      </c>
      <c r="D56" s="145" t="str">
        <f ca="1">OFFSET(ORÇAMENTO!N$15,ROW(D56)-ROW(D$15),0)</f>
        <v>Serviço</v>
      </c>
      <c r="E56" s="205" t="str">
        <f ca="1">OFFSET(ORÇAMENTO!O$15,ROW(E56)-ROW(E$15),0)</f>
        <v>1.4.1.</v>
      </c>
      <c r="F56" s="206" t="str">
        <f ca="1">OFFSET(ORÇAMENTO!R$15,ROW(F56)-ROW(F$15),0)</f>
        <v>(abra o arquivo 'Referência 05-2023.xls)</v>
      </c>
      <c r="G56" s="207" t="str">
        <f ca="1">IF($D56&lt;&gt;"Serviço","",OFFSET(ORÇAMENTO!S$15,ROW(G56)-ROW(G$15),0))</f>
        <v>-</v>
      </c>
      <c r="H56" s="151">
        <f ca="1">IF($D56&lt;&gt;"Serviço",0,IF(ACOMPANHAMENTO="BM",ROUND(OFFSET(ORÇAMENTO!AJ$15,ROW(H56)-ROW(H$15),0),15-13*ORÇAMENTO!$AF$7),SUMPRODUCT(($Q$12:$AA$12&lt;&gt;"")*ROUND($Q56:$AA56,15-13*ORÇAMENTO!$AF$7))))</f>
        <v>985</v>
      </c>
      <c r="I56" s="611"/>
      <c r="K56" s="208"/>
      <c r="L56" s="209" t="s">
        <v>254</v>
      </c>
      <c r="M56" s="210">
        <f ca="1">IF($D56&lt;&gt;"Serviço","",IF(AUTOEVENTO="manual",$A56,IF(ISERROR(MATCH($A56,$A$15:OFFSET($A56,-1,0),0)),MAX($M$15:OFFSET(M56,-1,0))+1,INDEX($M$15:OFFSET(M56,-1,0),MATCH($A56,$A$15:OFFSET($A56,-1,0),0)))))</f>
        <v>5</v>
      </c>
      <c r="N56" s="211" t="str">
        <f ca="1">IF($D56&lt;&gt;"Serviço","",IF(AUTOEVENTO="Manual",IF($A56=0,"&lt;-- defina o número do agrupador",OFFSET(EVENTOS!$D$14,$A56,0)),OFFSET($F$15,$A56,0)))</f>
        <v>PINTURAS E TEXTURAS</v>
      </c>
      <c r="O56" s="212"/>
      <c r="Q56" s="212"/>
      <c r="R56" s="213"/>
      <c r="S56" s="213"/>
      <c r="T56" s="213"/>
      <c r="U56" s="213"/>
      <c r="V56" s="213"/>
      <c r="W56" s="213"/>
      <c r="X56" s="213"/>
      <c r="Y56" s="213"/>
      <c r="Z56" s="214"/>
      <c r="AB56" s="592">
        <f ca="1">IF(AND($D56="Serviço",AB$12&lt;&gt;0,$H56&gt;0,OR(AUTOEVENTO&lt;&gt;"manual",$M56&lt;&gt;1)),ROUND(OFFSET($P56,0,AB$13),15-13*ORÇAMENTO!$AF$7)/$H56*OFFSET(ORÇAMENTO!$X$15,ROW(AB56)-ROW(AB$15),0),0)</f>
        <v>0</v>
      </c>
      <c r="AC56" s="593">
        <f ca="1">IF(AND($D56="Serviço",AC$12&lt;&gt;0,$H56&gt;0,OR(AUTOEVENTO&lt;&gt;"manual",$M56&lt;&gt;1)),ROUND(OFFSET($P56,0,AC$13),15-13*ORÇAMENTO!$AF$7)/$H56*OFFSET(ORÇAMENTO!$X$15,ROW(AC56)-ROW(AC$15),0),0)</f>
        <v>0</v>
      </c>
      <c r="AD56" s="593">
        <f ca="1">IF(AND($D56="Serviço",AD$12&lt;&gt;0,$H56&gt;0,OR(AUTOEVENTO&lt;&gt;"manual",$M56&lt;&gt;1)),ROUND(OFFSET($P56,0,AD$13),15-13*ORÇAMENTO!$AF$7)/$H56*OFFSET(ORÇAMENTO!$X$15,ROW(AD56)-ROW(AD$15),0),0)</f>
        <v>0</v>
      </c>
      <c r="AE56" s="593">
        <f ca="1">IF(AND($D56="Serviço",AE$12&lt;&gt;0,$H56&gt;0,OR(AUTOEVENTO&lt;&gt;"manual",$M56&lt;&gt;1)),ROUND(OFFSET($P56,0,AE$13),15-13*ORÇAMENTO!$AF$7)/$H56*OFFSET(ORÇAMENTO!$X$15,ROW(AE56)-ROW(AE$15),0),0)</f>
        <v>0</v>
      </c>
      <c r="AF56" s="593">
        <f ca="1">IF(AND($D56="Serviço",AF$12&lt;&gt;0,$H56&gt;0,OR(AUTOEVENTO&lt;&gt;"manual",$M56&lt;&gt;1)),ROUND(OFFSET($P56,0,AF$13),15-13*ORÇAMENTO!$AF$7)/$H56*OFFSET(ORÇAMENTO!$X$15,ROW(AF56)-ROW(AF$15),0),0)</f>
        <v>0</v>
      </c>
      <c r="AG56" s="593">
        <f ca="1">IF(AND($D56="Serviço",AG$12&lt;&gt;0,$H56&gt;0,OR(AUTOEVENTO&lt;&gt;"manual",$M56&lt;&gt;1)),ROUND(OFFSET($P56,0,AG$13),15-13*ORÇAMENTO!$AF$7)/$H56*OFFSET(ORÇAMENTO!$X$15,ROW(AG56)-ROW(AG$15),0),0)</f>
        <v>0</v>
      </c>
      <c r="AH56" s="593">
        <f ca="1">IF(AND($D56="Serviço",AH$12&lt;&gt;0,$H56&gt;0,OR(AUTOEVENTO&lt;&gt;"manual",$M56&lt;&gt;1)),ROUND(OFFSET($P56,0,AH$13),15-13*ORÇAMENTO!$AF$7)/$H56*OFFSET(ORÇAMENTO!$X$15,ROW(AH56)-ROW(AH$15),0),0)</f>
        <v>0</v>
      </c>
      <c r="AI56" s="593">
        <f ca="1">IF(AND($D56="Serviço",AI$12&lt;&gt;0,$H56&gt;0,OR(AUTOEVENTO&lt;&gt;"manual",$M56&lt;&gt;1)),ROUND(OFFSET($P56,0,AI$13),15-13*ORÇAMENTO!$AF$7)/$H56*OFFSET(ORÇAMENTO!$X$15,ROW(AI56)-ROW(AI$15),0),0)</f>
        <v>0</v>
      </c>
      <c r="AJ56" s="593">
        <f ca="1">IF(AND($D56="Serviço",AJ$12&lt;&gt;0,$H56&gt;0,OR(AUTOEVENTO&lt;&gt;"manual",$M56&lt;&gt;1)),ROUND(OFFSET($P56,0,AJ$13),15-13*ORÇAMENTO!$AF$7)/$H56*OFFSET(ORÇAMENTO!$X$15,ROW(AJ56)-ROW(AJ$15),0),0)</f>
        <v>0</v>
      </c>
      <c r="AK56" s="594">
        <f ca="1">IF(AND($D56="Serviço",AK$12&lt;&gt;0,$H56&gt;0,OR(AUTOEVENTO&lt;&gt;"manual",$M56&lt;&gt;1)),ROUND(OFFSET($P56,0,AK$13),15-13*ORÇAMENTO!$AF$7)/$H56*OFFSET(ORÇAMENTO!$X$15,ROW(AK56)-ROW(AK$15),0),0)</f>
        <v>0</v>
      </c>
      <c r="AM56" s="215">
        <f ca="1">IF($D56&lt;&gt;"Serviço",0,IF(AND(AUTOEVENTO="Manual",$M56=1),0,IF(OFFSET(CRONOPLE!$F$14,$M56,AM$13)="",10^12,OFFSET(CRONOPLE!$F$14,$M56,AM$13))))</f>
        <v>2</v>
      </c>
      <c r="AN56" s="215">
        <f ca="1">IF($D56&lt;&gt;"Serviço",0,IF(AND(AUTOEVENTO="Manual",$M56=1),0,IF(OFFSET(CRONOPLE!$F$14,$M56,AN$13)="",10^12,OFFSET(CRONOPLE!$F$14,$M56,AN$13))))</f>
        <v>2</v>
      </c>
      <c r="AO56" s="215">
        <f ca="1">IF($D56&lt;&gt;"Serviço",0,IF(AND(AUTOEVENTO="Manual",$M56=1),0,IF(OFFSET(CRONOPLE!$F$14,$M56,AO$13)="",10^12,OFFSET(CRONOPLE!$F$14,$M56,AO$13))))</f>
        <v>3</v>
      </c>
      <c r="AP56" s="215">
        <f ca="1">IF($D56&lt;&gt;"Serviço",0,IF(AND(AUTOEVENTO="Manual",$M56=1),0,IF(OFFSET(CRONOPLE!$F$14,$M56,AP$13)="",10^12,OFFSET(CRONOPLE!$F$14,$M56,AP$13))))</f>
        <v>1000000000000</v>
      </c>
      <c r="AQ56" s="215">
        <f ca="1">IF($D56&lt;&gt;"Serviço",0,IF(AND(AUTOEVENTO="Manual",$M56=1),0,IF(OFFSET(CRONOPLE!$F$14,$M56,AQ$13)="",10^12,OFFSET(CRONOPLE!$F$14,$M56,AQ$13))))</f>
        <v>1000000000000</v>
      </c>
      <c r="AR56" s="215">
        <f ca="1">IF($D56&lt;&gt;"Serviço",0,IF(AND(AUTOEVENTO="Manual",$M56=1),0,IF(OFFSET(CRONOPLE!$F$14,$M56,AR$13)="",10^12,OFFSET(CRONOPLE!$F$14,$M56,AR$13))))</f>
        <v>1000000000000</v>
      </c>
      <c r="AS56" s="215">
        <f ca="1">IF($D56&lt;&gt;"Serviço",0,IF(AND(AUTOEVENTO="Manual",$M56=1),0,IF(OFFSET(CRONOPLE!$F$14,$M56,AS$13)="",10^12,OFFSET(CRONOPLE!$F$14,$M56,AS$13))))</f>
        <v>1000000000000</v>
      </c>
      <c r="AT56" s="215">
        <f ca="1">IF($D56&lt;&gt;"Serviço",0,IF(AND(AUTOEVENTO="Manual",$M56=1),0,IF(OFFSET(CRONOPLE!$F$14,$M56,AT$13)="",10^12,OFFSET(CRONOPLE!$F$14,$M56,AT$13))))</f>
        <v>1000000000000</v>
      </c>
      <c r="AU56" s="215">
        <f ca="1">IF($D56&lt;&gt;"Serviço",0,IF(AND(AUTOEVENTO="Manual",$M56=1),0,IF(OFFSET(CRONOPLE!$F$14,$M56,AU$13)="",10^12,OFFSET(CRONOPLE!$F$14,$M56,AU$13))))</f>
        <v>1000000000000</v>
      </c>
      <c r="AV56" s="215">
        <f ca="1">IF($D56&lt;&gt;"Serviço",0,IF(AND(AUTOEVENTO="Manual",$M56=1),0,IF(OFFSET(CRONOPLE!$F$14,$M56,AV$13)="",10^12,OFFSET(CRONOPLE!$F$14,$M56,AV$13))))</f>
        <v>1000000000000</v>
      </c>
      <c r="AX56" s="216">
        <f ca="1">IF($D56&lt;&gt;"Serviço",0,IF(OR(AND(AUTOEVENTO="Manual",$M56=1),$M56&gt;(ROW(PLE.lastrow)-ROW(PLE.firstrow))),0,IF(OFFSET(PLE!$G$14,$M56,AX$13)="",10^12,OFFSET(PLE!$G$14,$M56,AX$13))))</f>
        <v>1000000000000</v>
      </c>
      <c r="AY56" s="216">
        <f ca="1">IF($D56&lt;&gt;"Serviço",0,IF(OR(AND(AUTOEVENTO="Manual",$M56=1),$M56&gt;(ROW(PLE.lastrow)-ROW(PLE.firstrow))),0,IF(OFFSET(PLE!$G$14,$M56,AY$13)="",10^12,OFFSET(PLE!$G$14,$M56,AY$13))))</f>
        <v>1000000000000</v>
      </c>
      <c r="AZ56" s="216">
        <f ca="1">IF($D56&lt;&gt;"Serviço",0,IF(OR(AND(AUTOEVENTO="Manual",$M56=1),$M56&gt;(ROW(PLE.lastrow)-ROW(PLE.firstrow))),0,IF(OFFSET(PLE!$G$14,$M56,AZ$13)="",10^12,OFFSET(PLE!$G$14,$M56,AZ$13))))</f>
        <v>1000000000000</v>
      </c>
      <c r="BA56" s="216">
        <f ca="1">IF($D56&lt;&gt;"Serviço",0,IF(OR(AND(AUTOEVENTO="Manual",$M56=1),$M56&gt;(ROW(PLE.lastrow)-ROW(PLE.firstrow))),0,IF(OFFSET(PLE!$G$14,$M56,BA$13)="",10^12,OFFSET(PLE!$G$14,$M56,BA$13))))</f>
        <v>1000000000000</v>
      </c>
      <c r="BB56" s="216">
        <f ca="1">IF($D56&lt;&gt;"Serviço",0,IF(OR(AND(AUTOEVENTO="Manual",$M56=1),$M56&gt;(ROW(PLE.lastrow)-ROW(PLE.firstrow))),0,IF(OFFSET(PLE!$G$14,$M56,BB$13)="",10^12,OFFSET(PLE!$G$14,$M56,BB$13))))</f>
        <v>1000000000000</v>
      </c>
      <c r="BC56" s="216">
        <f ca="1">IF($D56&lt;&gt;"Serviço",0,IF(OR(AND(AUTOEVENTO="Manual",$M56=1),$M56&gt;(ROW(PLE.lastrow)-ROW(PLE.firstrow))),0,IF(OFFSET(PLE!$G$14,$M56,BC$13)="",10^12,OFFSET(PLE!$G$14,$M56,BC$13))))</f>
        <v>1000000000000</v>
      </c>
      <c r="BD56" s="216">
        <f ca="1">IF($D56&lt;&gt;"Serviço",0,IF(OR(AND(AUTOEVENTO="Manual",$M56=1),$M56&gt;(ROW(PLE.lastrow)-ROW(PLE.firstrow))),0,IF(OFFSET(PLE!$G$14,$M56,BD$13)="",10^12,OFFSET(PLE!$G$14,$M56,BD$13))))</f>
        <v>1000000000000</v>
      </c>
      <c r="BE56" s="216">
        <f ca="1">IF($D56&lt;&gt;"Serviço",0,IF(OR(AND(AUTOEVENTO="Manual",$M56=1),$M56&gt;(ROW(PLE.lastrow)-ROW(PLE.firstrow))),0,IF(OFFSET(PLE!$G$14,$M56,BE$13)="",10^12,OFFSET(PLE!$G$14,$M56,BE$13))))</f>
        <v>1000000000000</v>
      </c>
      <c r="BF56" s="216">
        <f ca="1">IF($D56&lt;&gt;"Serviço",0,IF(OR(AND(AUTOEVENTO="Manual",$M56=1),$M56&gt;(ROW(PLE.lastrow)-ROW(PLE.firstrow))),0,IF(OFFSET(PLE!$G$14,$M56,BF$13)="",10^12,OFFSET(PLE!$G$14,$M56,BF$13))))</f>
        <v>1000000000000</v>
      </c>
      <c r="BG56" s="216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37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5" t="str">
        <f ca="1">OFFSET(ORÇAMENTO!N$15,ROW(D57)-ROW(D$15),0)</f>
        <v>Serviço</v>
      </c>
      <c r="E57" s="205" t="str">
        <f ca="1">OFFSET(ORÇAMENTO!O$15,ROW(E57)-ROW(E$15),0)</f>
        <v>-</v>
      </c>
      <c r="F57" s="206" t="str">
        <f ca="1">OFFSET(ORÇAMENTO!R$15,ROW(F57)-ROW(F$15),0)</f>
        <v>(abra o arquivo 'Referência 05-2023.xls)</v>
      </c>
      <c r="G57" s="207" t="str">
        <f ca="1">IF($D57&lt;&gt;"Serviço","",OFFSET(ORÇAMENTO!S$15,ROW(G57)-ROW(G$15),0))</f>
        <v>-</v>
      </c>
      <c r="H57" s="151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1"/>
      <c r="K57" s="208"/>
      <c r="L57" s="209" t="s">
        <v>254</v>
      </c>
      <c r="M57" s="210">
        <f ca="1">IF($D57&lt;&gt;"Serviço","",IF(AUTOEVENTO="manual",$A57,IF(ISERROR(MATCH($A57,$A$15:OFFSET($A57,-1,0),0)),MAX($M$15:OFFSET(M57,-1,0))+1,INDEX($M$15:OFFSET(M57,-1,0),MATCH($A57,$A$15:OFFSET($A57,-1,0),0)))))</f>
        <v>5</v>
      </c>
      <c r="N57" s="211" t="str">
        <f ca="1">IF($D57&lt;&gt;"Serviço","",IF(AUTOEVENTO="Manual",IF($A57=0,"&lt;-- defina o número do agrupador",OFFSET(EVENTOS!$D$14,$A57,0)),OFFSET($F$15,$A57,0)))</f>
        <v>PINTURAS E TEXTURAS</v>
      </c>
      <c r="O57" s="212"/>
      <c r="Q57" s="212"/>
      <c r="R57" s="213"/>
      <c r="S57" s="213"/>
      <c r="T57" s="213"/>
      <c r="U57" s="213"/>
      <c r="V57" s="213"/>
      <c r="W57" s="213"/>
      <c r="X57" s="213"/>
      <c r="Y57" s="213"/>
      <c r="Z57" s="214"/>
      <c r="AB57" s="592">
        <f ca="1">IF(AND($D57="Serviço",AB$12&lt;&gt;0,$H57&gt;0,OR(AUTOEVENTO&lt;&gt;"manual",$M57&lt;&gt;1)),ROUND(OFFSET($P57,0,AB$13),15-13*ORÇAMENTO!$AF$7)/$H57*OFFSET(ORÇAMENTO!$X$15,ROW(AB57)-ROW(AB$15),0),0)</f>
        <v>0</v>
      </c>
      <c r="AC57" s="593">
        <f ca="1">IF(AND($D57="Serviço",AC$12&lt;&gt;0,$H57&gt;0,OR(AUTOEVENTO&lt;&gt;"manual",$M57&lt;&gt;1)),ROUND(OFFSET($P57,0,AC$13),15-13*ORÇAMENTO!$AF$7)/$H57*OFFSET(ORÇAMENTO!$X$15,ROW(AC57)-ROW(AC$15),0),0)</f>
        <v>0</v>
      </c>
      <c r="AD57" s="593">
        <f ca="1">IF(AND($D57="Serviço",AD$12&lt;&gt;0,$H57&gt;0,OR(AUTOEVENTO&lt;&gt;"manual",$M57&lt;&gt;1)),ROUND(OFFSET($P57,0,AD$13),15-13*ORÇAMENTO!$AF$7)/$H57*OFFSET(ORÇAMENTO!$X$15,ROW(AD57)-ROW(AD$15),0),0)</f>
        <v>0</v>
      </c>
      <c r="AE57" s="593">
        <f ca="1">IF(AND($D57="Serviço",AE$12&lt;&gt;0,$H57&gt;0,OR(AUTOEVENTO&lt;&gt;"manual",$M57&lt;&gt;1)),ROUND(OFFSET($P57,0,AE$13),15-13*ORÇAMENTO!$AF$7)/$H57*OFFSET(ORÇAMENTO!$X$15,ROW(AE57)-ROW(AE$15),0),0)</f>
        <v>0</v>
      </c>
      <c r="AF57" s="593">
        <f ca="1">IF(AND($D57="Serviço",AF$12&lt;&gt;0,$H57&gt;0,OR(AUTOEVENTO&lt;&gt;"manual",$M57&lt;&gt;1)),ROUND(OFFSET($P57,0,AF$13),15-13*ORÇAMENTO!$AF$7)/$H57*OFFSET(ORÇAMENTO!$X$15,ROW(AF57)-ROW(AF$15),0),0)</f>
        <v>0</v>
      </c>
      <c r="AG57" s="593">
        <f ca="1">IF(AND($D57="Serviço",AG$12&lt;&gt;0,$H57&gt;0,OR(AUTOEVENTO&lt;&gt;"manual",$M57&lt;&gt;1)),ROUND(OFFSET($P57,0,AG$13),15-13*ORÇAMENTO!$AF$7)/$H57*OFFSET(ORÇAMENTO!$X$15,ROW(AG57)-ROW(AG$15),0),0)</f>
        <v>0</v>
      </c>
      <c r="AH57" s="593">
        <f ca="1">IF(AND($D57="Serviço",AH$12&lt;&gt;0,$H57&gt;0,OR(AUTOEVENTO&lt;&gt;"manual",$M57&lt;&gt;1)),ROUND(OFFSET($P57,0,AH$13),15-13*ORÇAMENTO!$AF$7)/$H57*OFFSET(ORÇAMENTO!$X$15,ROW(AH57)-ROW(AH$15),0),0)</f>
        <v>0</v>
      </c>
      <c r="AI57" s="593">
        <f ca="1">IF(AND($D57="Serviço",AI$12&lt;&gt;0,$H57&gt;0,OR(AUTOEVENTO&lt;&gt;"manual",$M57&lt;&gt;1)),ROUND(OFFSET($P57,0,AI$13),15-13*ORÇAMENTO!$AF$7)/$H57*OFFSET(ORÇAMENTO!$X$15,ROW(AI57)-ROW(AI$15),0),0)</f>
        <v>0</v>
      </c>
      <c r="AJ57" s="593">
        <f ca="1">IF(AND($D57="Serviço",AJ$12&lt;&gt;0,$H57&gt;0,OR(AUTOEVENTO&lt;&gt;"manual",$M57&lt;&gt;1)),ROUND(OFFSET($P57,0,AJ$13),15-13*ORÇAMENTO!$AF$7)/$H57*OFFSET(ORÇAMENTO!$X$15,ROW(AJ57)-ROW(AJ$15),0),0)</f>
        <v>0</v>
      </c>
      <c r="AK57" s="594">
        <f ca="1">IF(AND($D57="Serviço",AK$12&lt;&gt;0,$H57&gt;0,OR(AUTOEVENTO&lt;&gt;"manual",$M57&lt;&gt;1)),ROUND(OFFSET($P57,0,AK$13),15-13*ORÇAMENTO!$AF$7)/$H57*OFFSET(ORÇAMENTO!$X$15,ROW(AK57)-ROW(AK$15),0),0)</f>
        <v>0</v>
      </c>
      <c r="AM57" s="215">
        <f ca="1">IF($D57&lt;&gt;"Serviço",0,IF(AND(AUTOEVENTO="Manual",$M57=1),0,IF(OFFSET(CRONOPLE!$F$14,$M57,AM$13)="",10^12,OFFSET(CRONOPLE!$F$14,$M57,AM$13))))</f>
        <v>2</v>
      </c>
      <c r="AN57" s="215">
        <f ca="1">IF($D57&lt;&gt;"Serviço",0,IF(AND(AUTOEVENTO="Manual",$M57=1),0,IF(OFFSET(CRONOPLE!$F$14,$M57,AN$13)="",10^12,OFFSET(CRONOPLE!$F$14,$M57,AN$13))))</f>
        <v>2</v>
      </c>
      <c r="AO57" s="215">
        <f ca="1">IF($D57&lt;&gt;"Serviço",0,IF(AND(AUTOEVENTO="Manual",$M57=1),0,IF(OFFSET(CRONOPLE!$F$14,$M57,AO$13)="",10^12,OFFSET(CRONOPLE!$F$14,$M57,AO$13))))</f>
        <v>3</v>
      </c>
      <c r="AP57" s="215">
        <f ca="1">IF($D57&lt;&gt;"Serviço",0,IF(AND(AUTOEVENTO="Manual",$M57=1),0,IF(OFFSET(CRONOPLE!$F$14,$M57,AP$13)="",10^12,OFFSET(CRONOPLE!$F$14,$M57,AP$13))))</f>
        <v>1000000000000</v>
      </c>
      <c r="AQ57" s="215">
        <f ca="1">IF($D57&lt;&gt;"Serviço",0,IF(AND(AUTOEVENTO="Manual",$M57=1),0,IF(OFFSET(CRONOPLE!$F$14,$M57,AQ$13)="",10^12,OFFSET(CRONOPLE!$F$14,$M57,AQ$13))))</f>
        <v>1000000000000</v>
      </c>
      <c r="AR57" s="215">
        <f ca="1">IF($D57&lt;&gt;"Serviço",0,IF(AND(AUTOEVENTO="Manual",$M57=1),0,IF(OFFSET(CRONOPLE!$F$14,$M57,AR$13)="",10^12,OFFSET(CRONOPLE!$F$14,$M57,AR$13))))</f>
        <v>1000000000000</v>
      </c>
      <c r="AS57" s="215">
        <f ca="1">IF($D57&lt;&gt;"Serviço",0,IF(AND(AUTOEVENTO="Manual",$M57=1),0,IF(OFFSET(CRONOPLE!$F$14,$M57,AS$13)="",10^12,OFFSET(CRONOPLE!$F$14,$M57,AS$13))))</f>
        <v>1000000000000</v>
      </c>
      <c r="AT57" s="215">
        <f ca="1">IF($D57&lt;&gt;"Serviço",0,IF(AND(AUTOEVENTO="Manual",$M57=1),0,IF(OFFSET(CRONOPLE!$F$14,$M57,AT$13)="",10^12,OFFSET(CRONOPLE!$F$14,$M57,AT$13))))</f>
        <v>1000000000000</v>
      </c>
      <c r="AU57" s="215">
        <f ca="1">IF($D57&lt;&gt;"Serviço",0,IF(AND(AUTOEVENTO="Manual",$M57=1),0,IF(OFFSET(CRONOPLE!$F$14,$M57,AU$13)="",10^12,OFFSET(CRONOPLE!$F$14,$M57,AU$13))))</f>
        <v>1000000000000</v>
      </c>
      <c r="AV57" s="215">
        <f ca="1">IF($D57&lt;&gt;"Serviço",0,IF(AND(AUTOEVENTO="Manual",$M57=1),0,IF(OFFSET(CRONOPLE!$F$14,$M57,AV$13)="",10^12,OFFSET(CRONOPLE!$F$14,$M57,AV$13))))</f>
        <v>1000000000000</v>
      </c>
      <c r="AX57" s="216">
        <f ca="1">IF($D57&lt;&gt;"Serviço",0,IF(OR(AND(AUTOEVENTO="Manual",$M57=1),$M57&gt;(ROW(PLE.lastrow)-ROW(PLE.firstrow))),0,IF(OFFSET(PLE!$G$14,$M57,AX$13)="",10^12,OFFSET(PLE!$G$14,$M57,AX$13))))</f>
        <v>1000000000000</v>
      </c>
      <c r="AY57" s="216">
        <f ca="1">IF($D57&lt;&gt;"Serviço",0,IF(OR(AND(AUTOEVENTO="Manual",$M57=1),$M57&gt;(ROW(PLE.lastrow)-ROW(PLE.firstrow))),0,IF(OFFSET(PLE!$G$14,$M57,AY$13)="",10^12,OFFSET(PLE!$G$14,$M57,AY$13))))</f>
        <v>1000000000000</v>
      </c>
      <c r="AZ57" s="216">
        <f ca="1">IF($D57&lt;&gt;"Serviço",0,IF(OR(AND(AUTOEVENTO="Manual",$M57=1),$M57&gt;(ROW(PLE.lastrow)-ROW(PLE.firstrow))),0,IF(OFFSET(PLE!$G$14,$M57,AZ$13)="",10^12,OFFSET(PLE!$G$14,$M57,AZ$13))))</f>
        <v>1000000000000</v>
      </c>
      <c r="BA57" s="216">
        <f ca="1">IF($D57&lt;&gt;"Serviço",0,IF(OR(AND(AUTOEVENTO="Manual",$M57=1),$M57&gt;(ROW(PLE.lastrow)-ROW(PLE.firstrow))),0,IF(OFFSET(PLE!$G$14,$M57,BA$13)="",10^12,OFFSET(PLE!$G$14,$M57,BA$13))))</f>
        <v>1000000000000</v>
      </c>
      <c r="BB57" s="216">
        <f ca="1">IF($D57&lt;&gt;"Serviço",0,IF(OR(AND(AUTOEVENTO="Manual",$M57=1),$M57&gt;(ROW(PLE.lastrow)-ROW(PLE.firstrow))),0,IF(OFFSET(PLE!$G$14,$M57,BB$13)="",10^12,OFFSET(PLE!$G$14,$M57,BB$13))))</f>
        <v>1000000000000</v>
      </c>
      <c r="BC57" s="216">
        <f ca="1">IF($D57&lt;&gt;"Serviço",0,IF(OR(AND(AUTOEVENTO="Manual",$M57=1),$M57&gt;(ROW(PLE.lastrow)-ROW(PLE.firstrow))),0,IF(OFFSET(PLE!$G$14,$M57,BC$13)="",10^12,OFFSET(PLE!$G$14,$M57,BC$13))))</f>
        <v>1000000000000</v>
      </c>
      <c r="BD57" s="216">
        <f ca="1">IF($D57&lt;&gt;"Serviço",0,IF(OR(AND(AUTOEVENTO="Manual",$M57=1),$M57&gt;(ROW(PLE.lastrow)-ROW(PLE.firstrow))),0,IF(OFFSET(PLE!$G$14,$M57,BD$13)="",10^12,OFFSET(PLE!$G$14,$M57,BD$13))))</f>
        <v>1000000000000</v>
      </c>
      <c r="BE57" s="216">
        <f ca="1">IF($D57&lt;&gt;"Serviço",0,IF(OR(AND(AUTOEVENTO="Manual",$M57=1),$M57&gt;(ROW(PLE.lastrow)-ROW(PLE.firstrow))),0,IF(OFFSET(PLE!$G$14,$M57,BE$13)="",10^12,OFFSET(PLE!$G$14,$M57,BE$13))))</f>
        <v>1000000000000</v>
      </c>
      <c r="BF57" s="216">
        <f ca="1">IF($D57&lt;&gt;"Serviço",0,IF(OR(AND(AUTOEVENTO="Manual",$M57=1),$M57&gt;(ROW(PLE.lastrow)-ROW(PLE.firstrow))),0,IF(OFFSET(PLE!$G$14,$M57,BF$13)="",10^12,OFFSET(PLE!$G$14,$M57,BF$13))))</f>
        <v>1000000000000</v>
      </c>
      <c r="BG57" s="216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37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5" t="str">
        <f ca="1">OFFSET(ORÇAMENTO!N$15,ROW(D58)-ROW(D$15),0)</f>
        <v>Serviço</v>
      </c>
      <c r="E58" s="205" t="str">
        <f ca="1">OFFSET(ORÇAMENTO!O$15,ROW(E58)-ROW(E$15),0)</f>
        <v>-</v>
      </c>
      <c r="F58" s="206" t="str">
        <f ca="1">OFFSET(ORÇAMENTO!R$15,ROW(F58)-ROW(F$15),0)</f>
        <v>(abra o arquivo 'Referência 05-2023.xls)</v>
      </c>
      <c r="G58" s="207" t="str">
        <f ca="1">IF($D58&lt;&gt;"Serviço","",OFFSET(ORÇAMENTO!S$15,ROW(G58)-ROW(G$15),0))</f>
        <v>-</v>
      </c>
      <c r="H58" s="151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1"/>
      <c r="K58" s="208"/>
      <c r="L58" s="209" t="s">
        <v>254</v>
      </c>
      <c r="M58" s="210">
        <f ca="1">IF($D58&lt;&gt;"Serviço","",IF(AUTOEVENTO="manual",$A58,IF(ISERROR(MATCH($A58,$A$15:OFFSET($A58,-1,0),0)),MAX($M$15:OFFSET(M58,-1,0))+1,INDEX($M$15:OFFSET(M58,-1,0),MATCH($A58,$A$15:OFFSET($A58,-1,0),0)))))</f>
        <v>5</v>
      </c>
      <c r="N58" s="211" t="str">
        <f ca="1">IF($D58&lt;&gt;"Serviço","",IF(AUTOEVENTO="Manual",IF($A58=0,"&lt;-- defina o número do agrupador",OFFSET(EVENTOS!$D$14,$A58,0)),OFFSET($F$15,$A58,0)))</f>
        <v>PINTURAS E TEXTURAS</v>
      </c>
      <c r="O58" s="212"/>
      <c r="Q58" s="212"/>
      <c r="R58" s="213"/>
      <c r="S58" s="213"/>
      <c r="T58" s="213"/>
      <c r="U58" s="213"/>
      <c r="V58" s="213"/>
      <c r="W58" s="213"/>
      <c r="X58" s="213"/>
      <c r="Y58" s="213"/>
      <c r="Z58" s="214"/>
      <c r="AB58" s="592">
        <f ca="1">IF(AND($D58="Serviço",AB$12&lt;&gt;0,$H58&gt;0,OR(AUTOEVENTO&lt;&gt;"manual",$M58&lt;&gt;1)),ROUND(OFFSET($P58,0,AB$13),15-13*ORÇAMENTO!$AF$7)/$H58*OFFSET(ORÇAMENTO!$X$15,ROW(AB58)-ROW(AB$15),0),0)</f>
        <v>0</v>
      </c>
      <c r="AC58" s="593">
        <f ca="1">IF(AND($D58="Serviço",AC$12&lt;&gt;0,$H58&gt;0,OR(AUTOEVENTO&lt;&gt;"manual",$M58&lt;&gt;1)),ROUND(OFFSET($P58,0,AC$13),15-13*ORÇAMENTO!$AF$7)/$H58*OFFSET(ORÇAMENTO!$X$15,ROW(AC58)-ROW(AC$15),0),0)</f>
        <v>0</v>
      </c>
      <c r="AD58" s="593">
        <f ca="1">IF(AND($D58="Serviço",AD$12&lt;&gt;0,$H58&gt;0,OR(AUTOEVENTO&lt;&gt;"manual",$M58&lt;&gt;1)),ROUND(OFFSET($P58,0,AD$13),15-13*ORÇAMENTO!$AF$7)/$H58*OFFSET(ORÇAMENTO!$X$15,ROW(AD58)-ROW(AD$15),0),0)</f>
        <v>0</v>
      </c>
      <c r="AE58" s="593">
        <f ca="1">IF(AND($D58="Serviço",AE$12&lt;&gt;0,$H58&gt;0,OR(AUTOEVENTO&lt;&gt;"manual",$M58&lt;&gt;1)),ROUND(OFFSET($P58,0,AE$13),15-13*ORÇAMENTO!$AF$7)/$H58*OFFSET(ORÇAMENTO!$X$15,ROW(AE58)-ROW(AE$15),0),0)</f>
        <v>0</v>
      </c>
      <c r="AF58" s="593">
        <f ca="1">IF(AND($D58="Serviço",AF$12&lt;&gt;0,$H58&gt;0,OR(AUTOEVENTO&lt;&gt;"manual",$M58&lt;&gt;1)),ROUND(OFFSET($P58,0,AF$13),15-13*ORÇAMENTO!$AF$7)/$H58*OFFSET(ORÇAMENTO!$X$15,ROW(AF58)-ROW(AF$15),0),0)</f>
        <v>0</v>
      </c>
      <c r="AG58" s="593">
        <f ca="1">IF(AND($D58="Serviço",AG$12&lt;&gt;0,$H58&gt;0,OR(AUTOEVENTO&lt;&gt;"manual",$M58&lt;&gt;1)),ROUND(OFFSET($P58,0,AG$13),15-13*ORÇAMENTO!$AF$7)/$H58*OFFSET(ORÇAMENTO!$X$15,ROW(AG58)-ROW(AG$15),0),0)</f>
        <v>0</v>
      </c>
      <c r="AH58" s="593">
        <f ca="1">IF(AND($D58="Serviço",AH$12&lt;&gt;0,$H58&gt;0,OR(AUTOEVENTO&lt;&gt;"manual",$M58&lt;&gt;1)),ROUND(OFFSET($P58,0,AH$13),15-13*ORÇAMENTO!$AF$7)/$H58*OFFSET(ORÇAMENTO!$X$15,ROW(AH58)-ROW(AH$15),0),0)</f>
        <v>0</v>
      </c>
      <c r="AI58" s="593">
        <f ca="1">IF(AND($D58="Serviço",AI$12&lt;&gt;0,$H58&gt;0,OR(AUTOEVENTO&lt;&gt;"manual",$M58&lt;&gt;1)),ROUND(OFFSET($P58,0,AI$13),15-13*ORÇAMENTO!$AF$7)/$H58*OFFSET(ORÇAMENTO!$X$15,ROW(AI58)-ROW(AI$15),0),0)</f>
        <v>0</v>
      </c>
      <c r="AJ58" s="593">
        <f ca="1">IF(AND($D58="Serviço",AJ$12&lt;&gt;0,$H58&gt;0,OR(AUTOEVENTO&lt;&gt;"manual",$M58&lt;&gt;1)),ROUND(OFFSET($P58,0,AJ$13),15-13*ORÇAMENTO!$AF$7)/$H58*OFFSET(ORÇAMENTO!$X$15,ROW(AJ58)-ROW(AJ$15),0),0)</f>
        <v>0</v>
      </c>
      <c r="AK58" s="594">
        <f ca="1">IF(AND($D58="Serviço",AK$12&lt;&gt;0,$H58&gt;0,OR(AUTOEVENTO&lt;&gt;"manual",$M58&lt;&gt;1)),ROUND(OFFSET($P58,0,AK$13),15-13*ORÇAMENTO!$AF$7)/$H58*OFFSET(ORÇAMENTO!$X$15,ROW(AK58)-ROW(AK$15),0),0)</f>
        <v>0</v>
      </c>
      <c r="AM58" s="215">
        <f ca="1">IF($D58&lt;&gt;"Serviço",0,IF(AND(AUTOEVENTO="Manual",$M58=1),0,IF(OFFSET(CRONOPLE!$F$14,$M58,AM$13)="",10^12,OFFSET(CRONOPLE!$F$14,$M58,AM$13))))</f>
        <v>2</v>
      </c>
      <c r="AN58" s="215">
        <f ca="1">IF($D58&lt;&gt;"Serviço",0,IF(AND(AUTOEVENTO="Manual",$M58=1),0,IF(OFFSET(CRONOPLE!$F$14,$M58,AN$13)="",10^12,OFFSET(CRONOPLE!$F$14,$M58,AN$13))))</f>
        <v>2</v>
      </c>
      <c r="AO58" s="215">
        <f ca="1">IF($D58&lt;&gt;"Serviço",0,IF(AND(AUTOEVENTO="Manual",$M58=1),0,IF(OFFSET(CRONOPLE!$F$14,$M58,AO$13)="",10^12,OFFSET(CRONOPLE!$F$14,$M58,AO$13))))</f>
        <v>3</v>
      </c>
      <c r="AP58" s="215">
        <f ca="1">IF($D58&lt;&gt;"Serviço",0,IF(AND(AUTOEVENTO="Manual",$M58=1),0,IF(OFFSET(CRONOPLE!$F$14,$M58,AP$13)="",10^12,OFFSET(CRONOPLE!$F$14,$M58,AP$13))))</f>
        <v>1000000000000</v>
      </c>
      <c r="AQ58" s="215">
        <f ca="1">IF($D58&lt;&gt;"Serviço",0,IF(AND(AUTOEVENTO="Manual",$M58=1),0,IF(OFFSET(CRONOPLE!$F$14,$M58,AQ$13)="",10^12,OFFSET(CRONOPLE!$F$14,$M58,AQ$13))))</f>
        <v>1000000000000</v>
      </c>
      <c r="AR58" s="215">
        <f ca="1">IF($D58&lt;&gt;"Serviço",0,IF(AND(AUTOEVENTO="Manual",$M58=1),0,IF(OFFSET(CRONOPLE!$F$14,$M58,AR$13)="",10^12,OFFSET(CRONOPLE!$F$14,$M58,AR$13))))</f>
        <v>1000000000000</v>
      </c>
      <c r="AS58" s="215">
        <f ca="1">IF($D58&lt;&gt;"Serviço",0,IF(AND(AUTOEVENTO="Manual",$M58=1),0,IF(OFFSET(CRONOPLE!$F$14,$M58,AS$13)="",10^12,OFFSET(CRONOPLE!$F$14,$M58,AS$13))))</f>
        <v>1000000000000</v>
      </c>
      <c r="AT58" s="215">
        <f ca="1">IF($D58&lt;&gt;"Serviço",0,IF(AND(AUTOEVENTO="Manual",$M58=1),0,IF(OFFSET(CRONOPLE!$F$14,$M58,AT$13)="",10^12,OFFSET(CRONOPLE!$F$14,$M58,AT$13))))</f>
        <v>1000000000000</v>
      </c>
      <c r="AU58" s="215">
        <f ca="1">IF($D58&lt;&gt;"Serviço",0,IF(AND(AUTOEVENTO="Manual",$M58=1),0,IF(OFFSET(CRONOPLE!$F$14,$M58,AU$13)="",10^12,OFFSET(CRONOPLE!$F$14,$M58,AU$13))))</f>
        <v>1000000000000</v>
      </c>
      <c r="AV58" s="215">
        <f ca="1">IF($D58&lt;&gt;"Serviço",0,IF(AND(AUTOEVENTO="Manual",$M58=1),0,IF(OFFSET(CRONOPLE!$F$14,$M58,AV$13)="",10^12,OFFSET(CRONOPLE!$F$14,$M58,AV$13))))</f>
        <v>1000000000000</v>
      </c>
      <c r="AX58" s="216">
        <f ca="1">IF($D58&lt;&gt;"Serviço",0,IF(OR(AND(AUTOEVENTO="Manual",$M58=1),$M58&gt;(ROW(PLE.lastrow)-ROW(PLE.firstrow))),0,IF(OFFSET(PLE!$G$14,$M58,AX$13)="",10^12,OFFSET(PLE!$G$14,$M58,AX$13))))</f>
        <v>1000000000000</v>
      </c>
      <c r="AY58" s="216">
        <f ca="1">IF($D58&lt;&gt;"Serviço",0,IF(OR(AND(AUTOEVENTO="Manual",$M58=1),$M58&gt;(ROW(PLE.lastrow)-ROW(PLE.firstrow))),0,IF(OFFSET(PLE!$G$14,$M58,AY$13)="",10^12,OFFSET(PLE!$G$14,$M58,AY$13))))</f>
        <v>1000000000000</v>
      </c>
      <c r="AZ58" s="216">
        <f ca="1">IF($D58&lt;&gt;"Serviço",0,IF(OR(AND(AUTOEVENTO="Manual",$M58=1),$M58&gt;(ROW(PLE.lastrow)-ROW(PLE.firstrow))),0,IF(OFFSET(PLE!$G$14,$M58,AZ$13)="",10^12,OFFSET(PLE!$G$14,$M58,AZ$13))))</f>
        <v>1000000000000</v>
      </c>
      <c r="BA58" s="216">
        <f ca="1">IF($D58&lt;&gt;"Serviço",0,IF(OR(AND(AUTOEVENTO="Manual",$M58=1),$M58&gt;(ROW(PLE.lastrow)-ROW(PLE.firstrow))),0,IF(OFFSET(PLE!$G$14,$M58,BA$13)="",10^12,OFFSET(PLE!$G$14,$M58,BA$13))))</f>
        <v>1000000000000</v>
      </c>
      <c r="BB58" s="216">
        <f ca="1">IF($D58&lt;&gt;"Serviço",0,IF(OR(AND(AUTOEVENTO="Manual",$M58=1),$M58&gt;(ROW(PLE.lastrow)-ROW(PLE.firstrow))),0,IF(OFFSET(PLE!$G$14,$M58,BB$13)="",10^12,OFFSET(PLE!$G$14,$M58,BB$13))))</f>
        <v>1000000000000</v>
      </c>
      <c r="BC58" s="216">
        <f ca="1">IF($D58&lt;&gt;"Serviço",0,IF(OR(AND(AUTOEVENTO="Manual",$M58=1),$M58&gt;(ROW(PLE.lastrow)-ROW(PLE.firstrow))),0,IF(OFFSET(PLE!$G$14,$M58,BC$13)="",10^12,OFFSET(PLE!$G$14,$M58,BC$13))))</f>
        <v>1000000000000</v>
      </c>
      <c r="BD58" s="216">
        <f ca="1">IF($D58&lt;&gt;"Serviço",0,IF(OR(AND(AUTOEVENTO="Manual",$M58=1),$M58&gt;(ROW(PLE.lastrow)-ROW(PLE.firstrow))),0,IF(OFFSET(PLE!$G$14,$M58,BD$13)="",10^12,OFFSET(PLE!$G$14,$M58,BD$13))))</f>
        <v>1000000000000</v>
      </c>
      <c r="BE58" s="216">
        <f ca="1">IF($D58&lt;&gt;"Serviço",0,IF(OR(AND(AUTOEVENTO="Manual",$M58=1),$M58&gt;(ROW(PLE.lastrow)-ROW(PLE.firstrow))),0,IF(OFFSET(PLE!$G$14,$M58,BE$13)="",10^12,OFFSET(PLE!$G$14,$M58,BE$13))))</f>
        <v>1000000000000</v>
      </c>
      <c r="BF58" s="216">
        <f ca="1">IF($D58&lt;&gt;"Serviço",0,IF(OR(AND(AUTOEVENTO="Manual",$M58=1),$M58&gt;(ROW(PLE.lastrow)-ROW(PLE.firstrow))),0,IF(OFFSET(PLE!$G$14,$M58,BF$13)="",10^12,OFFSET(PLE!$G$14,$M58,BF$13))))</f>
        <v>1000000000000</v>
      </c>
      <c r="BG58" s="216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37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5" t="str">
        <f ca="1">OFFSET(ORÇAMENTO!N$15,ROW(D59)-ROW(D$15),0)</f>
        <v>Serviço</v>
      </c>
      <c r="E59" s="205" t="str">
        <f ca="1">OFFSET(ORÇAMENTO!O$15,ROW(E59)-ROW(E$15),0)</f>
        <v>-</v>
      </c>
      <c r="F59" s="206" t="str">
        <f ca="1">OFFSET(ORÇAMENTO!R$15,ROW(F59)-ROW(F$15),0)</f>
        <v>(abra o arquivo 'Referência 05-2023.xls)</v>
      </c>
      <c r="G59" s="207" t="str">
        <f ca="1">IF($D59&lt;&gt;"Serviço","",OFFSET(ORÇAMENTO!S$15,ROW(G59)-ROW(G$15),0))</f>
        <v>-</v>
      </c>
      <c r="H59" s="151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1"/>
      <c r="K59" s="208"/>
      <c r="L59" s="209" t="s">
        <v>254</v>
      </c>
      <c r="M59" s="210">
        <f ca="1">IF($D59&lt;&gt;"Serviço","",IF(AUTOEVENTO="manual",$A59,IF(ISERROR(MATCH($A59,$A$15:OFFSET($A59,-1,0),0)),MAX($M$15:OFFSET(M59,-1,0))+1,INDEX($M$15:OFFSET(M59,-1,0),MATCH($A59,$A$15:OFFSET($A59,-1,0),0)))))</f>
        <v>5</v>
      </c>
      <c r="N59" s="211" t="str">
        <f ca="1">IF($D59&lt;&gt;"Serviço","",IF(AUTOEVENTO="Manual",IF($A59=0,"&lt;-- defina o número do agrupador",OFFSET(EVENTOS!$D$14,$A59,0)),OFFSET($F$15,$A59,0)))</f>
        <v>PINTURAS E TEXTURAS</v>
      </c>
      <c r="O59" s="212"/>
      <c r="Q59" s="212"/>
      <c r="R59" s="213"/>
      <c r="S59" s="213"/>
      <c r="T59" s="213"/>
      <c r="U59" s="213"/>
      <c r="V59" s="213"/>
      <c r="W59" s="213"/>
      <c r="X59" s="213"/>
      <c r="Y59" s="213"/>
      <c r="Z59" s="214"/>
      <c r="AB59" s="592">
        <f ca="1">IF(AND($D59="Serviço",AB$12&lt;&gt;0,$H59&gt;0,OR(AUTOEVENTO&lt;&gt;"manual",$M59&lt;&gt;1)),ROUND(OFFSET($P59,0,AB$13),15-13*ORÇAMENTO!$AF$7)/$H59*OFFSET(ORÇAMENTO!$X$15,ROW(AB59)-ROW(AB$15),0),0)</f>
        <v>0</v>
      </c>
      <c r="AC59" s="593">
        <f ca="1">IF(AND($D59="Serviço",AC$12&lt;&gt;0,$H59&gt;0,OR(AUTOEVENTO&lt;&gt;"manual",$M59&lt;&gt;1)),ROUND(OFFSET($P59,0,AC$13),15-13*ORÇAMENTO!$AF$7)/$H59*OFFSET(ORÇAMENTO!$X$15,ROW(AC59)-ROW(AC$15),0),0)</f>
        <v>0</v>
      </c>
      <c r="AD59" s="593">
        <f ca="1">IF(AND($D59="Serviço",AD$12&lt;&gt;0,$H59&gt;0,OR(AUTOEVENTO&lt;&gt;"manual",$M59&lt;&gt;1)),ROUND(OFFSET($P59,0,AD$13),15-13*ORÇAMENTO!$AF$7)/$H59*OFFSET(ORÇAMENTO!$X$15,ROW(AD59)-ROW(AD$15),0),0)</f>
        <v>0</v>
      </c>
      <c r="AE59" s="593">
        <f ca="1">IF(AND($D59="Serviço",AE$12&lt;&gt;0,$H59&gt;0,OR(AUTOEVENTO&lt;&gt;"manual",$M59&lt;&gt;1)),ROUND(OFFSET($P59,0,AE$13),15-13*ORÇAMENTO!$AF$7)/$H59*OFFSET(ORÇAMENTO!$X$15,ROW(AE59)-ROW(AE$15),0),0)</f>
        <v>0</v>
      </c>
      <c r="AF59" s="593">
        <f ca="1">IF(AND($D59="Serviço",AF$12&lt;&gt;0,$H59&gt;0,OR(AUTOEVENTO&lt;&gt;"manual",$M59&lt;&gt;1)),ROUND(OFFSET($P59,0,AF$13),15-13*ORÇAMENTO!$AF$7)/$H59*OFFSET(ORÇAMENTO!$X$15,ROW(AF59)-ROW(AF$15),0),0)</f>
        <v>0</v>
      </c>
      <c r="AG59" s="593">
        <f ca="1">IF(AND($D59="Serviço",AG$12&lt;&gt;0,$H59&gt;0,OR(AUTOEVENTO&lt;&gt;"manual",$M59&lt;&gt;1)),ROUND(OFFSET($P59,0,AG$13),15-13*ORÇAMENTO!$AF$7)/$H59*OFFSET(ORÇAMENTO!$X$15,ROW(AG59)-ROW(AG$15),0),0)</f>
        <v>0</v>
      </c>
      <c r="AH59" s="593">
        <f ca="1">IF(AND($D59="Serviço",AH$12&lt;&gt;0,$H59&gt;0,OR(AUTOEVENTO&lt;&gt;"manual",$M59&lt;&gt;1)),ROUND(OFFSET($P59,0,AH$13),15-13*ORÇAMENTO!$AF$7)/$H59*OFFSET(ORÇAMENTO!$X$15,ROW(AH59)-ROW(AH$15),0),0)</f>
        <v>0</v>
      </c>
      <c r="AI59" s="593">
        <f ca="1">IF(AND($D59="Serviço",AI$12&lt;&gt;0,$H59&gt;0,OR(AUTOEVENTO&lt;&gt;"manual",$M59&lt;&gt;1)),ROUND(OFFSET($P59,0,AI$13),15-13*ORÇAMENTO!$AF$7)/$H59*OFFSET(ORÇAMENTO!$X$15,ROW(AI59)-ROW(AI$15),0),0)</f>
        <v>0</v>
      </c>
      <c r="AJ59" s="593">
        <f ca="1">IF(AND($D59="Serviço",AJ$12&lt;&gt;0,$H59&gt;0,OR(AUTOEVENTO&lt;&gt;"manual",$M59&lt;&gt;1)),ROUND(OFFSET($P59,0,AJ$13),15-13*ORÇAMENTO!$AF$7)/$H59*OFFSET(ORÇAMENTO!$X$15,ROW(AJ59)-ROW(AJ$15),0),0)</f>
        <v>0</v>
      </c>
      <c r="AK59" s="594">
        <f ca="1">IF(AND($D59="Serviço",AK$12&lt;&gt;0,$H59&gt;0,OR(AUTOEVENTO&lt;&gt;"manual",$M59&lt;&gt;1)),ROUND(OFFSET($P59,0,AK$13),15-13*ORÇAMENTO!$AF$7)/$H59*OFFSET(ORÇAMENTO!$X$15,ROW(AK59)-ROW(AK$15),0),0)</f>
        <v>0</v>
      </c>
      <c r="AM59" s="215">
        <f ca="1">IF($D59&lt;&gt;"Serviço",0,IF(AND(AUTOEVENTO="Manual",$M59=1),0,IF(OFFSET(CRONOPLE!$F$14,$M59,AM$13)="",10^12,OFFSET(CRONOPLE!$F$14,$M59,AM$13))))</f>
        <v>2</v>
      </c>
      <c r="AN59" s="215">
        <f ca="1">IF($D59&lt;&gt;"Serviço",0,IF(AND(AUTOEVENTO="Manual",$M59=1),0,IF(OFFSET(CRONOPLE!$F$14,$M59,AN$13)="",10^12,OFFSET(CRONOPLE!$F$14,$M59,AN$13))))</f>
        <v>2</v>
      </c>
      <c r="AO59" s="215">
        <f ca="1">IF($D59&lt;&gt;"Serviço",0,IF(AND(AUTOEVENTO="Manual",$M59=1),0,IF(OFFSET(CRONOPLE!$F$14,$M59,AO$13)="",10^12,OFFSET(CRONOPLE!$F$14,$M59,AO$13))))</f>
        <v>3</v>
      </c>
      <c r="AP59" s="215">
        <f ca="1">IF($D59&lt;&gt;"Serviço",0,IF(AND(AUTOEVENTO="Manual",$M59=1),0,IF(OFFSET(CRONOPLE!$F$14,$M59,AP$13)="",10^12,OFFSET(CRONOPLE!$F$14,$M59,AP$13))))</f>
        <v>1000000000000</v>
      </c>
      <c r="AQ59" s="215">
        <f ca="1">IF($D59&lt;&gt;"Serviço",0,IF(AND(AUTOEVENTO="Manual",$M59=1),0,IF(OFFSET(CRONOPLE!$F$14,$M59,AQ$13)="",10^12,OFFSET(CRONOPLE!$F$14,$M59,AQ$13))))</f>
        <v>1000000000000</v>
      </c>
      <c r="AR59" s="215">
        <f ca="1">IF($D59&lt;&gt;"Serviço",0,IF(AND(AUTOEVENTO="Manual",$M59=1),0,IF(OFFSET(CRONOPLE!$F$14,$M59,AR$13)="",10^12,OFFSET(CRONOPLE!$F$14,$M59,AR$13))))</f>
        <v>1000000000000</v>
      </c>
      <c r="AS59" s="215">
        <f ca="1">IF($D59&lt;&gt;"Serviço",0,IF(AND(AUTOEVENTO="Manual",$M59=1),0,IF(OFFSET(CRONOPLE!$F$14,$M59,AS$13)="",10^12,OFFSET(CRONOPLE!$F$14,$M59,AS$13))))</f>
        <v>1000000000000</v>
      </c>
      <c r="AT59" s="215">
        <f ca="1">IF($D59&lt;&gt;"Serviço",0,IF(AND(AUTOEVENTO="Manual",$M59=1),0,IF(OFFSET(CRONOPLE!$F$14,$M59,AT$13)="",10^12,OFFSET(CRONOPLE!$F$14,$M59,AT$13))))</f>
        <v>1000000000000</v>
      </c>
      <c r="AU59" s="215">
        <f ca="1">IF($D59&lt;&gt;"Serviço",0,IF(AND(AUTOEVENTO="Manual",$M59=1),0,IF(OFFSET(CRONOPLE!$F$14,$M59,AU$13)="",10^12,OFFSET(CRONOPLE!$F$14,$M59,AU$13))))</f>
        <v>1000000000000</v>
      </c>
      <c r="AV59" s="215">
        <f ca="1">IF($D59&lt;&gt;"Serviço",0,IF(AND(AUTOEVENTO="Manual",$M59=1),0,IF(OFFSET(CRONOPLE!$F$14,$M59,AV$13)="",10^12,OFFSET(CRONOPLE!$F$14,$M59,AV$13))))</f>
        <v>1000000000000</v>
      </c>
      <c r="AX59" s="216">
        <f ca="1">IF($D59&lt;&gt;"Serviço",0,IF(OR(AND(AUTOEVENTO="Manual",$M59=1),$M59&gt;(ROW(PLE.lastrow)-ROW(PLE.firstrow))),0,IF(OFFSET(PLE!$G$14,$M59,AX$13)="",10^12,OFFSET(PLE!$G$14,$M59,AX$13))))</f>
        <v>1000000000000</v>
      </c>
      <c r="AY59" s="216">
        <f ca="1">IF($D59&lt;&gt;"Serviço",0,IF(OR(AND(AUTOEVENTO="Manual",$M59=1),$M59&gt;(ROW(PLE.lastrow)-ROW(PLE.firstrow))),0,IF(OFFSET(PLE!$G$14,$M59,AY$13)="",10^12,OFFSET(PLE!$G$14,$M59,AY$13))))</f>
        <v>1000000000000</v>
      </c>
      <c r="AZ59" s="216">
        <f ca="1">IF($D59&lt;&gt;"Serviço",0,IF(OR(AND(AUTOEVENTO="Manual",$M59=1),$M59&gt;(ROW(PLE.lastrow)-ROW(PLE.firstrow))),0,IF(OFFSET(PLE!$G$14,$M59,AZ$13)="",10^12,OFFSET(PLE!$G$14,$M59,AZ$13))))</f>
        <v>1000000000000</v>
      </c>
      <c r="BA59" s="216">
        <f ca="1">IF($D59&lt;&gt;"Serviço",0,IF(OR(AND(AUTOEVENTO="Manual",$M59=1),$M59&gt;(ROW(PLE.lastrow)-ROW(PLE.firstrow))),0,IF(OFFSET(PLE!$G$14,$M59,BA$13)="",10^12,OFFSET(PLE!$G$14,$M59,BA$13))))</f>
        <v>1000000000000</v>
      </c>
      <c r="BB59" s="216">
        <f ca="1">IF($D59&lt;&gt;"Serviço",0,IF(OR(AND(AUTOEVENTO="Manual",$M59=1),$M59&gt;(ROW(PLE.lastrow)-ROW(PLE.firstrow))),0,IF(OFFSET(PLE!$G$14,$M59,BB$13)="",10^12,OFFSET(PLE!$G$14,$M59,BB$13))))</f>
        <v>1000000000000</v>
      </c>
      <c r="BC59" s="216">
        <f ca="1">IF($D59&lt;&gt;"Serviço",0,IF(OR(AND(AUTOEVENTO="Manual",$M59=1),$M59&gt;(ROW(PLE.lastrow)-ROW(PLE.firstrow))),0,IF(OFFSET(PLE!$G$14,$M59,BC$13)="",10^12,OFFSET(PLE!$G$14,$M59,BC$13))))</f>
        <v>1000000000000</v>
      </c>
      <c r="BD59" s="216">
        <f ca="1">IF($D59&lt;&gt;"Serviço",0,IF(OR(AND(AUTOEVENTO="Manual",$M59=1),$M59&gt;(ROW(PLE.lastrow)-ROW(PLE.firstrow))),0,IF(OFFSET(PLE!$G$14,$M59,BD$13)="",10^12,OFFSET(PLE!$G$14,$M59,BD$13))))</f>
        <v>1000000000000</v>
      </c>
      <c r="BE59" s="216">
        <f ca="1">IF($D59&lt;&gt;"Serviço",0,IF(OR(AND(AUTOEVENTO="Manual",$M59=1),$M59&gt;(ROW(PLE.lastrow)-ROW(PLE.firstrow))),0,IF(OFFSET(PLE!$G$14,$M59,BE$13)="",10^12,OFFSET(PLE!$G$14,$M59,BE$13))))</f>
        <v>1000000000000</v>
      </c>
      <c r="BF59" s="216">
        <f ca="1">IF($D59&lt;&gt;"Serviço",0,IF(OR(AND(AUTOEVENTO="Manual",$M59=1),$M59&gt;(ROW(PLE.lastrow)-ROW(PLE.firstrow))),0,IF(OFFSET(PLE!$G$14,$M59,BF$13)="",10^12,OFFSET(PLE!$G$14,$M59,BF$13))))</f>
        <v>1000000000000</v>
      </c>
      <c r="BG59" s="216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37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5" t="str">
        <f ca="1">OFFSET(ORÇAMENTO!N$15,ROW(D60)-ROW(D$15),0)</f>
        <v>Serviço</v>
      </c>
      <c r="E60" s="205" t="str">
        <f ca="1">OFFSET(ORÇAMENTO!O$15,ROW(E60)-ROW(E$15),0)</f>
        <v>-</v>
      </c>
      <c r="F60" s="206" t="str">
        <f ca="1">OFFSET(ORÇAMENTO!R$15,ROW(F60)-ROW(F$15),0)</f>
        <v>(abra o arquivo 'Referência 05-2023.xls)</v>
      </c>
      <c r="G60" s="207" t="str">
        <f ca="1">IF($D60&lt;&gt;"Serviço","",OFFSET(ORÇAMENTO!S$15,ROW(G60)-ROW(G$15),0))</f>
        <v>-</v>
      </c>
      <c r="H60" s="151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1"/>
      <c r="K60" s="208"/>
      <c r="L60" s="209" t="s">
        <v>254</v>
      </c>
      <c r="M60" s="210">
        <f ca="1">IF($D60&lt;&gt;"Serviço","",IF(AUTOEVENTO="manual",$A60,IF(ISERROR(MATCH($A60,$A$15:OFFSET($A60,-1,0),0)),MAX($M$15:OFFSET(M60,-1,0))+1,INDEX($M$15:OFFSET(M60,-1,0),MATCH($A60,$A$15:OFFSET($A60,-1,0),0)))))</f>
        <v>5</v>
      </c>
      <c r="N60" s="211" t="str">
        <f ca="1">IF($D60&lt;&gt;"Serviço","",IF(AUTOEVENTO="Manual",IF($A60=0,"&lt;-- defina o número do agrupador",OFFSET(EVENTOS!$D$14,$A60,0)),OFFSET($F$15,$A60,0)))</f>
        <v>PINTURAS E TEXTURAS</v>
      </c>
      <c r="O60" s="212"/>
      <c r="Q60" s="212"/>
      <c r="R60" s="213"/>
      <c r="S60" s="213"/>
      <c r="T60" s="213"/>
      <c r="U60" s="213"/>
      <c r="V60" s="213"/>
      <c r="W60" s="213"/>
      <c r="X60" s="213"/>
      <c r="Y60" s="213"/>
      <c r="Z60" s="214"/>
      <c r="AB60" s="592">
        <f ca="1">IF(AND($D60="Serviço",AB$12&lt;&gt;0,$H60&gt;0,OR(AUTOEVENTO&lt;&gt;"manual",$M60&lt;&gt;1)),ROUND(OFFSET($P60,0,AB$13),15-13*ORÇAMENTO!$AF$7)/$H60*OFFSET(ORÇAMENTO!$X$15,ROW(AB60)-ROW(AB$15),0),0)</f>
        <v>0</v>
      </c>
      <c r="AC60" s="593">
        <f ca="1">IF(AND($D60="Serviço",AC$12&lt;&gt;0,$H60&gt;0,OR(AUTOEVENTO&lt;&gt;"manual",$M60&lt;&gt;1)),ROUND(OFFSET($P60,0,AC$13),15-13*ORÇAMENTO!$AF$7)/$H60*OFFSET(ORÇAMENTO!$X$15,ROW(AC60)-ROW(AC$15),0),0)</f>
        <v>0</v>
      </c>
      <c r="AD60" s="593">
        <f ca="1">IF(AND($D60="Serviço",AD$12&lt;&gt;0,$H60&gt;0,OR(AUTOEVENTO&lt;&gt;"manual",$M60&lt;&gt;1)),ROUND(OFFSET($P60,0,AD$13),15-13*ORÇAMENTO!$AF$7)/$H60*OFFSET(ORÇAMENTO!$X$15,ROW(AD60)-ROW(AD$15),0),0)</f>
        <v>0</v>
      </c>
      <c r="AE60" s="593">
        <f ca="1">IF(AND($D60="Serviço",AE$12&lt;&gt;0,$H60&gt;0,OR(AUTOEVENTO&lt;&gt;"manual",$M60&lt;&gt;1)),ROUND(OFFSET($P60,0,AE$13),15-13*ORÇAMENTO!$AF$7)/$H60*OFFSET(ORÇAMENTO!$X$15,ROW(AE60)-ROW(AE$15),0),0)</f>
        <v>0</v>
      </c>
      <c r="AF60" s="593">
        <f ca="1">IF(AND($D60="Serviço",AF$12&lt;&gt;0,$H60&gt;0,OR(AUTOEVENTO&lt;&gt;"manual",$M60&lt;&gt;1)),ROUND(OFFSET($P60,0,AF$13),15-13*ORÇAMENTO!$AF$7)/$H60*OFFSET(ORÇAMENTO!$X$15,ROW(AF60)-ROW(AF$15),0),0)</f>
        <v>0</v>
      </c>
      <c r="AG60" s="593">
        <f ca="1">IF(AND($D60="Serviço",AG$12&lt;&gt;0,$H60&gt;0,OR(AUTOEVENTO&lt;&gt;"manual",$M60&lt;&gt;1)),ROUND(OFFSET($P60,0,AG$13),15-13*ORÇAMENTO!$AF$7)/$H60*OFFSET(ORÇAMENTO!$X$15,ROW(AG60)-ROW(AG$15),0),0)</f>
        <v>0</v>
      </c>
      <c r="AH60" s="593">
        <f ca="1">IF(AND($D60="Serviço",AH$12&lt;&gt;0,$H60&gt;0,OR(AUTOEVENTO&lt;&gt;"manual",$M60&lt;&gt;1)),ROUND(OFFSET($P60,0,AH$13),15-13*ORÇAMENTO!$AF$7)/$H60*OFFSET(ORÇAMENTO!$X$15,ROW(AH60)-ROW(AH$15),0),0)</f>
        <v>0</v>
      </c>
      <c r="AI60" s="593">
        <f ca="1">IF(AND($D60="Serviço",AI$12&lt;&gt;0,$H60&gt;0,OR(AUTOEVENTO&lt;&gt;"manual",$M60&lt;&gt;1)),ROUND(OFFSET($P60,0,AI$13),15-13*ORÇAMENTO!$AF$7)/$H60*OFFSET(ORÇAMENTO!$X$15,ROW(AI60)-ROW(AI$15),0),0)</f>
        <v>0</v>
      </c>
      <c r="AJ60" s="593">
        <f ca="1">IF(AND($D60="Serviço",AJ$12&lt;&gt;0,$H60&gt;0,OR(AUTOEVENTO&lt;&gt;"manual",$M60&lt;&gt;1)),ROUND(OFFSET($P60,0,AJ$13),15-13*ORÇAMENTO!$AF$7)/$H60*OFFSET(ORÇAMENTO!$X$15,ROW(AJ60)-ROW(AJ$15),0),0)</f>
        <v>0</v>
      </c>
      <c r="AK60" s="594">
        <f ca="1">IF(AND($D60="Serviço",AK$12&lt;&gt;0,$H60&gt;0,OR(AUTOEVENTO&lt;&gt;"manual",$M60&lt;&gt;1)),ROUND(OFFSET($P60,0,AK$13),15-13*ORÇAMENTO!$AF$7)/$H60*OFFSET(ORÇAMENTO!$X$15,ROW(AK60)-ROW(AK$15),0),0)</f>
        <v>0</v>
      </c>
      <c r="AM60" s="215">
        <f ca="1">IF($D60&lt;&gt;"Serviço",0,IF(AND(AUTOEVENTO="Manual",$M60=1),0,IF(OFFSET(CRONOPLE!$F$14,$M60,AM$13)="",10^12,OFFSET(CRONOPLE!$F$14,$M60,AM$13))))</f>
        <v>2</v>
      </c>
      <c r="AN60" s="215">
        <f ca="1">IF($D60&lt;&gt;"Serviço",0,IF(AND(AUTOEVENTO="Manual",$M60=1),0,IF(OFFSET(CRONOPLE!$F$14,$M60,AN$13)="",10^12,OFFSET(CRONOPLE!$F$14,$M60,AN$13))))</f>
        <v>2</v>
      </c>
      <c r="AO60" s="215">
        <f ca="1">IF($D60&lt;&gt;"Serviço",0,IF(AND(AUTOEVENTO="Manual",$M60=1),0,IF(OFFSET(CRONOPLE!$F$14,$M60,AO$13)="",10^12,OFFSET(CRONOPLE!$F$14,$M60,AO$13))))</f>
        <v>3</v>
      </c>
      <c r="AP60" s="215">
        <f ca="1">IF($D60&lt;&gt;"Serviço",0,IF(AND(AUTOEVENTO="Manual",$M60=1),0,IF(OFFSET(CRONOPLE!$F$14,$M60,AP$13)="",10^12,OFFSET(CRONOPLE!$F$14,$M60,AP$13))))</f>
        <v>1000000000000</v>
      </c>
      <c r="AQ60" s="215">
        <f ca="1">IF($D60&lt;&gt;"Serviço",0,IF(AND(AUTOEVENTO="Manual",$M60=1),0,IF(OFFSET(CRONOPLE!$F$14,$M60,AQ$13)="",10^12,OFFSET(CRONOPLE!$F$14,$M60,AQ$13))))</f>
        <v>1000000000000</v>
      </c>
      <c r="AR60" s="215">
        <f ca="1">IF($D60&lt;&gt;"Serviço",0,IF(AND(AUTOEVENTO="Manual",$M60=1),0,IF(OFFSET(CRONOPLE!$F$14,$M60,AR$13)="",10^12,OFFSET(CRONOPLE!$F$14,$M60,AR$13))))</f>
        <v>1000000000000</v>
      </c>
      <c r="AS60" s="215">
        <f ca="1">IF($D60&lt;&gt;"Serviço",0,IF(AND(AUTOEVENTO="Manual",$M60=1),0,IF(OFFSET(CRONOPLE!$F$14,$M60,AS$13)="",10^12,OFFSET(CRONOPLE!$F$14,$M60,AS$13))))</f>
        <v>1000000000000</v>
      </c>
      <c r="AT60" s="215">
        <f ca="1">IF($D60&lt;&gt;"Serviço",0,IF(AND(AUTOEVENTO="Manual",$M60=1),0,IF(OFFSET(CRONOPLE!$F$14,$M60,AT$13)="",10^12,OFFSET(CRONOPLE!$F$14,$M60,AT$13))))</f>
        <v>1000000000000</v>
      </c>
      <c r="AU60" s="215">
        <f ca="1">IF($D60&lt;&gt;"Serviço",0,IF(AND(AUTOEVENTO="Manual",$M60=1),0,IF(OFFSET(CRONOPLE!$F$14,$M60,AU$13)="",10^12,OFFSET(CRONOPLE!$F$14,$M60,AU$13))))</f>
        <v>1000000000000</v>
      </c>
      <c r="AV60" s="215">
        <f ca="1">IF($D60&lt;&gt;"Serviço",0,IF(AND(AUTOEVENTO="Manual",$M60=1),0,IF(OFFSET(CRONOPLE!$F$14,$M60,AV$13)="",10^12,OFFSET(CRONOPLE!$F$14,$M60,AV$13))))</f>
        <v>1000000000000</v>
      </c>
      <c r="AX60" s="216">
        <f ca="1">IF($D60&lt;&gt;"Serviço",0,IF(OR(AND(AUTOEVENTO="Manual",$M60=1),$M60&gt;(ROW(PLE.lastrow)-ROW(PLE.firstrow))),0,IF(OFFSET(PLE!$G$14,$M60,AX$13)="",10^12,OFFSET(PLE!$G$14,$M60,AX$13))))</f>
        <v>1000000000000</v>
      </c>
      <c r="AY60" s="216">
        <f ca="1">IF($D60&lt;&gt;"Serviço",0,IF(OR(AND(AUTOEVENTO="Manual",$M60=1),$M60&gt;(ROW(PLE.lastrow)-ROW(PLE.firstrow))),0,IF(OFFSET(PLE!$G$14,$M60,AY$13)="",10^12,OFFSET(PLE!$G$14,$M60,AY$13))))</f>
        <v>1000000000000</v>
      </c>
      <c r="AZ60" s="216">
        <f ca="1">IF($D60&lt;&gt;"Serviço",0,IF(OR(AND(AUTOEVENTO="Manual",$M60=1),$M60&gt;(ROW(PLE.lastrow)-ROW(PLE.firstrow))),0,IF(OFFSET(PLE!$G$14,$M60,AZ$13)="",10^12,OFFSET(PLE!$G$14,$M60,AZ$13))))</f>
        <v>1000000000000</v>
      </c>
      <c r="BA60" s="216">
        <f ca="1">IF($D60&lt;&gt;"Serviço",0,IF(OR(AND(AUTOEVENTO="Manual",$M60=1),$M60&gt;(ROW(PLE.lastrow)-ROW(PLE.firstrow))),0,IF(OFFSET(PLE!$G$14,$M60,BA$13)="",10^12,OFFSET(PLE!$G$14,$M60,BA$13))))</f>
        <v>1000000000000</v>
      </c>
      <c r="BB60" s="216">
        <f ca="1">IF($D60&lt;&gt;"Serviço",0,IF(OR(AND(AUTOEVENTO="Manual",$M60=1),$M60&gt;(ROW(PLE.lastrow)-ROW(PLE.firstrow))),0,IF(OFFSET(PLE!$G$14,$M60,BB$13)="",10^12,OFFSET(PLE!$G$14,$M60,BB$13))))</f>
        <v>1000000000000</v>
      </c>
      <c r="BC60" s="216">
        <f ca="1">IF($D60&lt;&gt;"Serviço",0,IF(OR(AND(AUTOEVENTO="Manual",$M60=1),$M60&gt;(ROW(PLE.lastrow)-ROW(PLE.firstrow))),0,IF(OFFSET(PLE!$G$14,$M60,BC$13)="",10^12,OFFSET(PLE!$G$14,$M60,BC$13))))</f>
        <v>1000000000000</v>
      </c>
      <c r="BD60" s="216">
        <f ca="1">IF($D60&lt;&gt;"Serviço",0,IF(OR(AND(AUTOEVENTO="Manual",$M60=1),$M60&gt;(ROW(PLE.lastrow)-ROW(PLE.firstrow))),0,IF(OFFSET(PLE!$G$14,$M60,BD$13)="",10^12,OFFSET(PLE!$G$14,$M60,BD$13))))</f>
        <v>1000000000000</v>
      </c>
      <c r="BE60" s="216">
        <f ca="1">IF($D60&lt;&gt;"Serviço",0,IF(OR(AND(AUTOEVENTO="Manual",$M60=1),$M60&gt;(ROW(PLE.lastrow)-ROW(PLE.firstrow))),0,IF(OFFSET(PLE!$G$14,$M60,BE$13)="",10^12,OFFSET(PLE!$G$14,$M60,BE$13))))</f>
        <v>1000000000000</v>
      </c>
      <c r="BF60" s="216">
        <f ca="1">IF($D60&lt;&gt;"Serviço",0,IF(OR(AND(AUTOEVENTO="Manual",$M60=1),$M60&gt;(ROW(PLE.lastrow)-ROW(PLE.firstrow))),0,IF(OFFSET(PLE!$G$14,$M60,BF$13)="",10^12,OFFSET(PLE!$G$14,$M60,BF$13))))</f>
        <v>1000000000000</v>
      </c>
      <c r="BG60" s="216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37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5" t="str">
        <f ca="1">OFFSET(ORÇAMENTO!N$15,ROW(D61)-ROW(D$15),0)</f>
        <v>Serviço</v>
      </c>
      <c r="E61" s="205" t="str">
        <f ca="1">OFFSET(ORÇAMENTO!O$15,ROW(E61)-ROW(E$15),0)</f>
        <v>-</v>
      </c>
      <c r="F61" s="206" t="str">
        <f ca="1">OFFSET(ORÇAMENTO!R$15,ROW(F61)-ROW(F$15),0)</f>
        <v>(abra o arquivo 'Referência 05-2023.xls)</v>
      </c>
      <c r="G61" s="207" t="str">
        <f ca="1">IF($D61&lt;&gt;"Serviço","",OFFSET(ORÇAMENTO!S$15,ROW(G61)-ROW(G$15),0))</f>
        <v>-</v>
      </c>
      <c r="H61" s="151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1"/>
      <c r="K61" s="208"/>
      <c r="L61" s="209" t="s">
        <v>254</v>
      </c>
      <c r="M61" s="210">
        <f ca="1">IF($D61&lt;&gt;"Serviço","",IF(AUTOEVENTO="manual",$A61,IF(ISERROR(MATCH($A61,$A$15:OFFSET($A61,-1,0),0)),MAX($M$15:OFFSET(M61,-1,0))+1,INDEX($M$15:OFFSET(M61,-1,0),MATCH($A61,$A$15:OFFSET($A61,-1,0),0)))))</f>
        <v>5</v>
      </c>
      <c r="N61" s="211" t="str">
        <f ca="1">IF($D61&lt;&gt;"Serviço","",IF(AUTOEVENTO="Manual",IF($A61=0,"&lt;-- defina o número do agrupador",OFFSET(EVENTOS!$D$14,$A61,0)),OFFSET($F$15,$A61,0)))</f>
        <v>PINTURAS E TEXTURAS</v>
      </c>
      <c r="O61" s="212"/>
      <c r="Q61" s="212"/>
      <c r="R61" s="213"/>
      <c r="S61" s="213"/>
      <c r="T61" s="213"/>
      <c r="U61" s="213"/>
      <c r="V61" s="213"/>
      <c r="W61" s="213"/>
      <c r="X61" s="213"/>
      <c r="Y61" s="213"/>
      <c r="Z61" s="214"/>
      <c r="AB61" s="592">
        <f ca="1">IF(AND($D61="Serviço",AB$12&lt;&gt;0,$H61&gt;0,OR(AUTOEVENTO&lt;&gt;"manual",$M61&lt;&gt;1)),ROUND(OFFSET($P61,0,AB$13),15-13*ORÇAMENTO!$AF$7)/$H61*OFFSET(ORÇAMENTO!$X$15,ROW(AB61)-ROW(AB$15),0),0)</f>
        <v>0</v>
      </c>
      <c r="AC61" s="593">
        <f ca="1">IF(AND($D61="Serviço",AC$12&lt;&gt;0,$H61&gt;0,OR(AUTOEVENTO&lt;&gt;"manual",$M61&lt;&gt;1)),ROUND(OFFSET($P61,0,AC$13),15-13*ORÇAMENTO!$AF$7)/$H61*OFFSET(ORÇAMENTO!$X$15,ROW(AC61)-ROW(AC$15),0),0)</f>
        <v>0</v>
      </c>
      <c r="AD61" s="593">
        <f ca="1">IF(AND($D61="Serviço",AD$12&lt;&gt;0,$H61&gt;0,OR(AUTOEVENTO&lt;&gt;"manual",$M61&lt;&gt;1)),ROUND(OFFSET($P61,0,AD$13),15-13*ORÇAMENTO!$AF$7)/$H61*OFFSET(ORÇAMENTO!$X$15,ROW(AD61)-ROW(AD$15),0),0)</f>
        <v>0</v>
      </c>
      <c r="AE61" s="593">
        <f ca="1">IF(AND($D61="Serviço",AE$12&lt;&gt;0,$H61&gt;0,OR(AUTOEVENTO&lt;&gt;"manual",$M61&lt;&gt;1)),ROUND(OFFSET($P61,0,AE$13),15-13*ORÇAMENTO!$AF$7)/$H61*OFFSET(ORÇAMENTO!$X$15,ROW(AE61)-ROW(AE$15),0),0)</f>
        <v>0</v>
      </c>
      <c r="AF61" s="593">
        <f ca="1">IF(AND($D61="Serviço",AF$12&lt;&gt;0,$H61&gt;0,OR(AUTOEVENTO&lt;&gt;"manual",$M61&lt;&gt;1)),ROUND(OFFSET($P61,0,AF$13),15-13*ORÇAMENTO!$AF$7)/$H61*OFFSET(ORÇAMENTO!$X$15,ROW(AF61)-ROW(AF$15),0),0)</f>
        <v>0</v>
      </c>
      <c r="AG61" s="593">
        <f ca="1">IF(AND($D61="Serviço",AG$12&lt;&gt;0,$H61&gt;0,OR(AUTOEVENTO&lt;&gt;"manual",$M61&lt;&gt;1)),ROUND(OFFSET($P61,0,AG$13),15-13*ORÇAMENTO!$AF$7)/$H61*OFFSET(ORÇAMENTO!$X$15,ROW(AG61)-ROW(AG$15),0),0)</f>
        <v>0</v>
      </c>
      <c r="AH61" s="593">
        <f ca="1">IF(AND($D61="Serviço",AH$12&lt;&gt;0,$H61&gt;0,OR(AUTOEVENTO&lt;&gt;"manual",$M61&lt;&gt;1)),ROUND(OFFSET($P61,0,AH$13),15-13*ORÇAMENTO!$AF$7)/$H61*OFFSET(ORÇAMENTO!$X$15,ROW(AH61)-ROW(AH$15),0),0)</f>
        <v>0</v>
      </c>
      <c r="AI61" s="593">
        <f ca="1">IF(AND($D61="Serviço",AI$12&lt;&gt;0,$H61&gt;0,OR(AUTOEVENTO&lt;&gt;"manual",$M61&lt;&gt;1)),ROUND(OFFSET($P61,0,AI$13),15-13*ORÇAMENTO!$AF$7)/$H61*OFFSET(ORÇAMENTO!$X$15,ROW(AI61)-ROW(AI$15),0),0)</f>
        <v>0</v>
      </c>
      <c r="AJ61" s="593">
        <f ca="1">IF(AND($D61="Serviço",AJ$12&lt;&gt;0,$H61&gt;0,OR(AUTOEVENTO&lt;&gt;"manual",$M61&lt;&gt;1)),ROUND(OFFSET($P61,0,AJ$13),15-13*ORÇAMENTO!$AF$7)/$H61*OFFSET(ORÇAMENTO!$X$15,ROW(AJ61)-ROW(AJ$15),0),0)</f>
        <v>0</v>
      </c>
      <c r="AK61" s="594">
        <f ca="1">IF(AND($D61="Serviço",AK$12&lt;&gt;0,$H61&gt;0,OR(AUTOEVENTO&lt;&gt;"manual",$M61&lt;&gt;1)),ROUND(OFFSET($P61,0,AK$13),15-13*ORÇAMENTO!$AF$7)/$H61*OFFSET(ORÇAMENTO!$X$15,ROW(AK61)-ROW(AK$15),0),0)</f>
        <v>0</v>
      </c>
      <c r="AM61" s="215">
        <f ca="1">IF($D61&lt;&gt;"Serviço",0,IF(AND(AUTOEVENTO="Manual",$M61=1),0,IF(OFFSET(CRONOPLE!$F$14,$M61,AM$13)="",10^12,OFFSET(CRONOPLE!$F$14,$M61,AM$13))))</f>
        <v>2</v>
      </c>
      <c r="AN61" s="215">
        <f ca="1">IF($D61&lt;&gt;"Serviço",0,IF(AND(AUTOEVENTO="Manual",$M61=1),0,IF(OFFSET(CRONOPLE!$F$14,$M61,AN$13)="",10^12,OFFSET(CRONOPLE!$F$14,$M61,AN$13))))</f>
        <v>2</v>
      </c>
      <c r="AO61" s="215">
        <f ca="1">IF($D61&lt;&gt;"Serviço",0,IF(AND(AUTOEVENTO="Manual",$M61=1),0,IF(OFFSET(CRONOPLE!$F$14,$M61,AO$13)="",10^12,OFFSET(CRONOPLE!$F$14,$M61,AO$13))))</f>
        <v>3</v>
      </c>
      <c r="AP61" s="215">
        <f ca="1">IF($D61&lt;&gt;"Serviço",0,IF(AND(AUTOEVENTO="Manual",$M61=1),0,IF(OFFSET(CRONOPLE!$F$14,$M61,AP$13)="",10^12,OFFSET(CRONOPLE!$F$14,$M61,AP$13))))</f>
        <v>1000000000000</v>
      </c>
      <c r="AQ61" s="215">
        <f ca="1">IF($D61&lt;&gt;"Serviço",0,IF(AND(AUTOEVENTO="Manual",$M61=1),0,IF(OFFSET(CRONOPLE!$F$14,$M61,AQ$13)="",10^12,OFFSET(CRONOPLE!$F$14,$M61,AQ$13))))</f>
        <v>1000000000000</v>
      </c>
      <c r="AR61" s="215">
        <f ca="1">IF($D61&lt;&gt;"Serviço",0,IF(AND(AUTOEVENTO="Manual",$M61=1),0,IF(OFFSET(CRONOPLE!$F$14,$M61,AR$13)="",10^12,OFFSET(CRONOPLE!$F$14,$M61,AR$13))))</f>
        <v>1000000000000</v>
      </c>
      <c r="AS61" s="215">
        <f ca="1">IF($D61&lt;&gt;"Serviço",0,IF(AND(AUTOEVENTO="Manual",$M61=1),0,IF(OFFSET(CRONOPLE!$F$14,$M61,AS$13)="",10^12,OFFSET(CRONOPLE!$F$14,$M61,AS$13))))</f>
        <v>1000000000000</v>
      </c>
      <c r="AT61" s="215">
        <f ca="1">IF($D61&lt;&gt;"Serviço",0,IF(AND(AUTOEVENTO="Manual",$M61=1),0,IF(OFFSET(CRONOPLE!$F$14,$M61,AT$13)="",10^12,OFFSET(CRONOPLE!$F$14,$M61,AT$13))))</f>
        <v>1000000000000</v>
      </c>
      <c r="AU61" s="215">
        <f ca="1">IF($D61&lt;&gt;"Serviço",0,IF(AND(AUTOEVENTO="Manual",$M61=1),0,IF(OFFSET(CRONOPLE!$F$14,$M61,AU$13)="",10^12,OFFSET(CRONOPLE!$F$14,$M61,AU$13))))</f>
        <v>1000000000000</v>
      </c>
      <c r="AV61" s="215">
        <f ca="1">IF($D61&lt;&gt;"Serviço",0,IF(AND(AUTOEVENTO="Manual",$M61=1),0,IF(OFFSET(CRONOPLE!$F$14,$M61,AV$13)="",10^12,OFFSET(CRONOPLE!$F$14,$M61,AV$13))))</f>
        <v>1000000000000</v>
      </c>
      <c r="AX61" s="216">
        <f ca="1">IF($D61&lt;&gt;"Serviço",0,IF(OR(AND(AUTOEVENTO="Manual",$M61=1),$M61&gt;(ROW(PLE.lastrow)-ROW(PLE.firstrow))),0,IF(OFFSET(PLE!$G$14,$M61,AX$13)="",10^12,OFFSET(PLE!$G$14,$M61,AX$13))))</f>
        <v>1000000000000</v>
      </c>
      <c r="AY61" s="216">
        <f ca="1">IF($D61&lt;&gt;"Serviço",0,IF(OR(AND(AUTOEVENTO="Manual",$M61=1),$M61&gt;(ROW(PLE.lastrow)-ROW(PLE.firstrow))),0,IF(OFFSET(PLE!$G$14,$M61,AY$13)="",10^12,OFFSET(PLE!$G$14,$M61,AY$13))))</f>
        <v>1000000000000</v>
      </c>
      <c r="AZ61" s="216">
        <f ca="1">IF($D61&lt;&gt;"Serviço",0,IF(OR(AND(AUTOEVENTO="Manual",$M61=1),$M61&gt;(ROW(PLE.lastrow)-ROW(PLE.firstrow))),0,IF(OFFSET(PLE!$G$14,$M61,AZ$13)="",10^12,OFFSET(PLE!$G$14,$M61,AZ$13))))</f>
        <v>1000000000000</v>
      </c>
      <c r="BA61" s="216">
        <f ca="1">IF($D61&lt;&gt;"Serviço",0,IF(OR(AND(AUTOEVENTO="Manual",$M61=1),$M61&gt;(ROW(PLE.lastrow)-ROW(PLE.firstrow))),0,IF(OFFSET(PLE!$G$14,$M61,BA$13)="",10^12,OFFSET(PLE!$G$14,$M61,BA$13))))</f>
        <v>1000000000000</v>
      </c>
      <c r="BB61" s="216">
        <f ca="1">IF($D61&lt;&gt;"Serviço",0,IF(OR(AND(AUTOEVENTO="Manual",$M61=1),$M61&gt;(ROW(PLE.lastrow)-ROW(PLE.firstrow))),0,IF(OFFSET(PLE!$G$14,$M61,BB$13)="",10^12,OFFSET(PLE!$G$14,$M61,BB$13))))</f>
        <v>1000000000000</v>
      </c>
      <c r="BC61" s="216">
        <f ca="1">IF($D61&lt;&gt;"Serviço",0,IF(OR(AND(AUTOEVENTO="Manual",$M61=1),$M61&gt;(ROW(PLE.lastrow)-ROW(PLE.firstrow))),0,IF(OFFSET(PLE!$G$14,$M61,BC$13)="",10^12,OFFSET(PLE!$G$14,$M61,BC$13))))</f>
        <v>1000000000000</v>
      </c>
      <c r="BD61" s="216">
        <f ca="1">IF($D61&lt;&gt;"Serviço",0,IF(OR(AND(AUTOEVENTO="Manual",$M61=1),$M61&gt;(ROW(PLE.lastrow)-ROW(PLE.firstrow))),0,IF(OFFSET(PLE!$G$14,$M61,BD$13)="",10^12,OFFSET(PLE!$G$14,$M61,BD$13))))</f>
        <v>1000000000000</v>
      </c>
      <c r="BE61" s="216">
        <f ca="1">IF($D61&lt;&gt;"Serviço",0,IF(OR(AND(AUTOEVENTO="Manual",$M61=1),$M61&gt;(ROW(PLE.lastrow)-ROW(PLE.firstrow))),0,IF(OFFSET(PLE!$G$14,$M61,BE$13)="",10^12,OFFSET(PLE!$G$14,$M61,BE$13))))</f>
        <v>1000000000000</v>
      </c>
      <c r="BF61" s="216">
        <f ca="1">IF($D61&lt;&gt;"Serviço",0,IF(OR(AND(AUTOEVENTO="Manual",$M61=1),$M61&gt;(ROW(PLE.lastrow)-ROW(PLE.firstrow))),0,IF(OFFSET(PLE!$G$14,$M61,BF$13)="",10^12,OFFSET(PLE!$G$14,$M61,BF$13))))</f>
        <v>1000000000000</v>
      </c>
      <c r="BG61" s="216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37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5" t="str">
        <f ca="1">OFFSET(ORÇAMENTO!N$15,ROW(D62)-ROW(D$15),0)</f>
        <v>Serviço</v>
      </c>
      <c r="E62" s="205" t="str">
        <f ca="1">OFFSET(ORÇAMENTO!O$15,ROW(E62)-ROW(E$15),0)</f>
        <v>-</v>
      </c>
      <c r="F62" s="206" t="str">
        <f ca="1">OFFSET(ORÇAMENTO!R$15,ROW(F62)-ROW(F$15),0)</f>
        <v>(abra o arquivo 'Referência 05-2023.xls)</v>
      </c>
      <c r="G62" s="207" t="str">
        <f ca="1">IF($D62&lt;&gt;"Serviço","",OFFSET(ORÇAMENTO!S$15,ROW(G62)-ROW(G$15),0))</f>
        <v>-</v>
      </c>
      <c r="H62" s="151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1"/>
      <c r="K62" s="208"/>
      <c r="L62" s="209" t="s">
        <v>254</v>
      </c>
      <c r="M62" s="210">
        <f ca="1">IF($D62&lt;&gt;"Serviço","",IF(AUTOEVENTO="manual",$A62,IF(ISERROR(MATCH($A62,$A$15:OFFSET($A62,-1,0),0)),MAX($M$15:OFFSET(M62,-1,0))+1,INDEX($M$15:OFFSET(M62,-1,0),MATCH($A62,$A$15:OFFSET($A62,-1,0),0)))))</f>
        <v>5</v>
      </c>
      <c r="N62" s="211" t="str">
        <f ca="1">IF($D62&lt;&gt;"Serviço","",IF(AUTOEVENTO="Manual",IF($A62=0,"&lt;-- defina o número do agrupador",OFFSET(EVENTOS!$D$14,$A62,0)),OFFSET($F$15,$A62,0)))</f>
        <v>PINTURAS E TEXTURAS</v>
      </c>
      <c r="O62" s="212"/>
      <c r="Q62" s="212"/>
      <c r="R62" s="213"/>
      <c r="S62" s="213"/>
      <c r="T62" s="213"/>
      <c r="U62" s="213"/>
      <c r="V62" s="213"/>
      <c r="W62" s="213"/>
      <c r="X62" s="213"/>
      <c r="Y62" s="213"/>
      <c r="Z62" s="214"/>
      <c r="AB62" s="592">
        <f ca="1">IF(AND($D62="Serviço",AB$12&lt;&gt;0,$H62&gt;0,OR(AUTOEVENTO&lt;&gt;"manual",$M62&lt;&gt;1)),ROUND(OFFSET($P62,0,AB$13),15-13*ORÇAMENTO!$AF$7)/$H62*OFFSET(ORÇAMENTO!$X$15,ROW(AB62)-ROW(AB$15),0),0)</f>
        <v>0</v>
      </c>
      <c r="AC62" s="593">
        <f ca="1">IF(AND($D62="Serviço",AC$12&lt;&gt;0,$H62&gt;0,OR(AUTOEVENTO&lt;&gt;"manual",$M62&lt;&gt;1)),ROUND(OFFSET($P62,0,AC$13),15-13*ORÇAMENTO!$AF$7)/$H62*OFFSET(ORÇAMENTO!$X$15,ROW(AC62)-ROW(AC$15),0),0)</f>
        <v>0</v>
      </c>
      <c r="AD62" s="593">
        <f ca="1">IF(AND($D62="Serviço",AD$12&lt;&gt;0,$H62&gt;0,OR(AUTOEVENTO&lt;&gt;"manual",$M62&lt;&gt;1)),ROUND(OFFSET($P62,0,AD$13),15-13*ORÇAMENTO!$AF$7)/$H62*OFFSET(ORÇAMENTO!$X$15,ROW(AD62)-ROW(AD$15),0),0)</f>
        <v>0</v>
      </c>
      <c r="AE62" s="593">
        <f ca="1">IF(AND($D62="Serviço",AE$12&lt;&gt;0,$H62&gt;0,OR(AUTOEVENTO&lt;&gt;"manual",$M62&lt;&gt;1)),ROUND(OFFSET($P62,0,AE$13),15-13*ORÇAMENTO!$AF$7)/$H62*OFFSET(ORÇAMENTO!$X$15,ROW(AE62)-ROW(AE$15),0),0)</f>
        <v>0</v>
      </c>
      <c r="AF62" s="593">
        <f ca="1">IF(AND($D62="Serviço",AF$12&lt;&gt;0,$H62&gt;0,OR(AUTOEVENTO&lt;&gt;"manual",$M62&lt;&gt;1)),ROUND(OFFSET($P62,0,AF$13),15-13*ORÇAMENTO!$AF$7)/$H62*OFFSET(ORÇAMENTO!$X$15,ROW(AF62)-ROW(AF$15),0),0)</f>
        <v>0</v>
      </c>
      <c r="AG62" s="593">
        <f ca="1">IF(AND($D62="Serviço",AG$12&lt;&gt;0,$H62&gt;0,OR(AUTOEVENTO&lt;&gt;"manual",$M62&lt;&gt;1)),ROUND(OFFSET($P62,0,AG$13),15-13*ORÇAMENTO!$AF$7)/$H62*OFFSET(ORÇAMENTO!$X$15,ROW(AG62)-ROW(AG$15),0),0)</f>
        <v>0</v>
      </c>
      <c r="AH62" s="593">
        <f ca="1">IF(AND($D62="Serviço",AH$12&lt;&gt;0,$H62&gt;0,OR(AUTOEVENTO&lt;&gt;"manual",$M62&lt;&gt;1)),ROUND(OFFSET($P62,0,AH$13),15-13*ORÇAMENTO!$AF$7)/$H62*OFFSET(ORÇAMENTO!$X$15,ROW(AH62)-ROW(AH$15),0),0)</f>
        <v>0</v>
      </c>
      <c r="AI62" s="593">
        <f ca="1">IF(AND($D62="Serviço",AI$12&lt;&gt;0,$H62&gt;0,OR(AUTOEVENTO&lt;&gt;"manual",$M62&lt;&gt;1)),ROUND(OFFSET($P62,0,AI$13),15-13*ORÇAMENTO!$AF$7)/$H62*OFFSET(ORÇAMENTO!$X$15,ROW(AI62)-ROW(AI$15),0),0)</f>
        <v>0</v>
      </c>
      <c r="AJ62" s="593">
        <f ca="1">IF(AND($D62="Serviço",AJ$12&lt;&gt;0,$H62&gt;0,OR(AUTOEVENTO&lt;&gt;"manual",$M62&lt;&gt;1)),ROUND(OFFSET($P62,0,AJ$13),15-13*ORÇAMENTO!$AF$7)/$H62*OFFSET(ORÇAMENTO!$X$15,ROW(AJ62)-ROW(AJ$15),0),0)</f>
        <v>0</v>
      </c>
      <c r="AK62" s="594">
        <f ca="1">IF(AND($D62="Serviço",AK$12&lt;&gt;0,$H62&gt;0,OR(AUTOEVENTO&lt;&gt;"manual",$M62&lt;&gt;1)),ROUND(OFFSET($P62,0,AK$13),15-13*ORÇAMENTO!$AF$7)/$H62*OFFSET(ORÇAMENTO!$X$15,ROW(AK62)-ROW(AK$15),0),0)</f>
        <v>0</v>
      </c>
      <c r="AM62" s="215">
        <f ca="1">IF($D62&lt;&gt;"Serviço",0,IF(AND(AUTOEVENTO="Manual",$M62=1),0,IF(OFFSET(CRONOPLE!$F$14,$M62,AM$13)="",10^12,OFFSET(CRONOPLE!$F$14,$M62,AM$13))))</f>
        <v>2</v>
      </c>
      <c r="AN62" s="215">
        <f ca="1">IF($D62&lt;&gt;"Serviço",0,IF(AND(AUTOEVENTO="Manual",$M62=1),0,IF(OFFSET(CRONOPLE!$F$14,$M62,AN$13)="",10^12,OFFSET(CRONOPLE!$F$14,$M62,AN$13))))</f>
        <v>2</v>
      </c>
      <c r="AO62" s="215">
        <f ca="1">IF($D62&lt;&gt;"Serviço",0,IF(AND(AUTOEVENTO="Manual",$M62=1),0,IF(OFFSET(CRONOPLE!$F$14,$M62,AO$13)="",10^12,OFFSET(CRONOPLE!$F$14,$M62,AO$13))))</f>
        <v>3</v>
      </c>
      <c r="AP62" s="215">
        <f ca="1">IF($D62&lt;&gt;"Serviço",0,IF(AND(AUTOEVENTO="Manual",$M62=1),0,IF(OFFSET(CRONOPLE!$F$14,$M62,AP$13)="",10^12,OFFSET(CRONOPLE!$F$14,$M62,AP$13))))</f>
        <v>1000000000000</v>
      </c>
      <c r="AQ62" s="215">
        <f ca="1">IF($D62&lt;&gt;"Serviço",0,IF(AND(AUTOEVENTO="Manual",$M62=1),0,IF(OFFSET(CRONOPLE!$F$14,$M62,AQ$13)="",10^12,OFFSET(CRONOPLE!$F$14,$M62,AQ$13))))</f>
        <v>1000000000000</v>
      </c>
      <c r="AR62" s="215">
        <f ca="1">IF($D62&lt;&gt;"Serviço",0,IF(AND(AUTOEVENTO="Manual",$M62=1),0,IF(OFFSET(CRONOPLE!$F$14,$M62,AR$13)="",10^12,OFFSET(CRONOPLE!$F$14,$M62,AR$13))))</f>
        <v>1000000000000</v>
      </c>
      <c r="AS62" s="215">
        <f ca="1">IF($D62&lt;&gt;"Serviço",0,IF(AND(AUTOEVENTO="Manual",$M62=1),0,IF(OFFSET(CRONOPLE!$F$14,$M62,AS$13)="",10^12,OFFSET(CRONOPLE!$F$14,$M62,AS$13))))</f>
        <v>1000000000000</v>
      </c>
      <c r="AT62" s="215">
        <f ca="1">IF($D62&lt;&gt;"Serviço",0,IF(AND(AUTOEVENTO="Manual",$M62=1),0,IF(OFFSET(CRONOPLE!$F$14,$M62,AT$13)="",10^12,OFFSET(CRONOPLE!$F$14,$M62,AT$13))))</f>
        <v>1000000000000</v>
      </c>
      <c r="AU62" s="215">
        <f ca="1">IF($D62&lt;&gt;"Serviço",0,IF(AND(AUTOEVENTO="Manual",$M62=1),0,IF(OFFSET(CRONOPLE!$F$14,$M62,AU$13)="",10^12,OFFSET(CRONOPLE!$F$14,$M62,AU$13))))</f>
        <v>1000000000000</v>
      </c>
      <c r="AV62" s="215">
        <f ca="1">IF($D62&lt;&gt;"Serviço",0,IF(AND(AUTOEVENTO="Manual",$M62=1),0,IF(OFFSET(CRONOPLE!$F$14,$M62,AV$13)="",10^12,OFFSET(CRONOPLE!$F$14,$M62,AV$13))))</f>
        <v>1000000000000</v>
      </c>
      <c r="AX62" s="216">
        <f ca="1">IF($D62&lt;&gt;"Serviço",0,IF(OR(AND(AUTOEVENTO="Manual",$M62=1),$M62&gt;(ROW(PLE.lastrow)-ROW(PLE.firstrow))),0,IF(OFFSET(PLE!$G$14,$M62,AX$13)="",10^12,OFFSET(PLE!$G$14,$M62,AX$13))))</f>
        <v>1000000000000</v>
      </c>
      <c r="AY62" s="216">
        <f ca="1">IF($D62&lt;&gt;"Serviço",0,IF(OR(AND(AUTOEVENTO="Manual",$M62=1),$M62&gt;(ROW(PLE.lastrow)-ROW(PLE.firstrow))),0,IF(OFFSET(PLE!$G$14,$M62,AY$13)="",10^12,OFFSET(PLE!$G$14,$M62,AY$13))))</f>
        <v>1000000000000</v>
      </c>
      <c r="AZ62" s="216">
        <f ca="1">IF($D62&lt;&gt;"Serviço",0,IF(OR(AND(AUTOEVENTO="Manual",$M62=1),$M62&gt;(ROW(PLE.lastrow)-ROW(PLE.firstrow))),0,IF(OFFSET(PLE!$G$14,$M62,AZ$13)="",10^12,OFFSET(PLE!$G$14,$M62,AZ$13))))</f>
        <v>1000000000000</v>
      </c>
      <c r="BA62" s="216">
        <f ca="1">IF($D62&lt;&gt;"Serviço",0,IF(OR(AND(AUTOEVENTO="Manual",$M62=1),$M62&gt;(ROW(PLE.lastrow)-ROW(PLE.firstrow))),0,IF(OFFSET(PLE!$G$14,$M62,BA$13)="",10^12,OFFSET(PLE!$G$14,$M62,BA$13))))</f>
        <v>1000000000000</v>
      </c>
      <c r="BB62" s="216">
        <f ca="1">IF($D62&lt;&gt;"Serviço",0,IF(OR(AND(AUTOEVENTO="Manual",$M62=1),$M62&gt;(ROW(PLE.lastrow)-ROW(PLE.firstrow))),0,IF(OFFSET(PLE!$G$14,$M62,BB$13)="",10^12,OFFSET(PLE!$G$14,$M62,BB$13))))</f>
        <v>1000000000000</v>
      </c>
      <c r="BC62" s="216">
        <f ca="1">IF($D62&lt;&gt;"Serviço",0,IF(OR(AND(AUTOEVENTO="Manual",$M62=1),$M62&gt;(ROW(PLE.lastrow)-ROW(PLE.firstrow))),0,IF(OFFSET(PLE!$G$14,$M62,BC$13)="",10^12,OFFSET(PLE!$G$14,$M62,BC$13))))</f>
        <v>1000000000000</v>
      </c>
      <c r="BD62" s="216">
        <f ca="1">IF($D62&lt;&gt;"Serviço",0,IF(OR(AND(AUTOEVENTO="Manual",$M62=1),$M62&gt;(ROW(PLE.lastrow)-ROW(PLE.firstrow))),0,IF(OFFSET(PLE!$G$14,$M62,BD$13)="",10^12,OFFSET(PLE!$G$14,$M62,BD$13))))</f>
        <v>1000000000000</v>
      </c>
      <c r="BE62" s="216">
        <f ca="1">IF($D62&lt;&gt;"Serviço",0,IF(OR(AND(AUTOEVENTO="Manual",$M62=1),$M62&gt;(ROW(PLE.lastrow)-ROW(PLE.firstrow))),0,IF(OFFSET(PLE!$G$14,$M62,BE$13)="",10^12,OFFSET(PLE!$G$14,$M62,BE$13))))</f>
        <v>1000000000000</v>
      </c>
      <c r="BF62" s="216">
        <f ca="1">IF($D62&lt;&gt;"Serviço",0,IF(OR(AND(AUTOEVENTO="Manual",$M62=1),$M62&gt;(ROW(PLE.lastrow)-ROW(PLE.firstrow))),0,IF(OFFSET(PLE!$G$14,$M62,BF$13)="",10^12,OFFSET(PLE!$G$14,$M62,BF$13))))</f>
        <v>1000000000000</v>
      </c>
      <c r="BG62" s="216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x14ac:dyDescent="0.2">
      <c r="A63" s="9" t="str">
        <f t="shared" ca="1" si="8"/>
        <v>37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5" t="str">
        <f ca="1">OFFSET(ORÇAMENTO!N$15,ROW(D63)-ROW(D$15),0)</f>
        <v>Serviço</v>
      </c>
      <c r="E63" s="205" t="str">
        <f ca="1">OFFSET(ORÇAMENTO!O$15,ROW(E63)-ROW(E$15),0)</f>
        <v>-</v>
      </c>
      <c r="F63" s="206" t="str">
        <f ca="1">OFFSET(ORÇAMENTO!R$15,ROW(F63)-ROW(F$15),0)</f>
        <v>(abra o arquivo 'Referência 05-2023.xls)</v>
      </c>
      <c r="G63" s="207" t="str">
        <f ca="1">IF($D63&lt;&gt;"Serviço","",OFFSET(ORÇAMENTO!S$15,ROW(G63)-ROW(G$15),0))</f>
        <v>-</v>
      </c>
      <c r="H63" s="151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1"/>
      <c r="K63" s="208"/>
      <c r="L63" s="209" t="s">
        <v>254</v>
      </c>
      <c r="M63" s="210">
        <f ca="1">IF($D63&lt;&gt;"Serviço","",IF(AUTOEVENTO="manual",$A63,IF(ISERROR(MATCH($A63,$A$15:OFFSET($A63,-1,0),0)),MAX($M$15:OFFSET(M63,-1,0))+1,INDEX($M$15:OFFSET(M63,-1,0),MATCH($A63,$A$15:OFFSET($A63,-1,0),0)))))</f>
        <v>5</v>
      </c>
      <c r="N63" s="211" t="str">
        <f ca="1">IF($D63&lt;&gt;"Serviço","",IF(AUTOEVENTO="Manual",IF($A63=0,"&lt;-- defina o número do agrupador",OFFSET(EVENTOS!$D$14,$A63,0)),OFFSET($F$15,$A63,0)))</f>
        <v>PINTURAS E TEXTURAS</v>
      </c>
      <c r="O63" s="212"/>
      <c r="Q63" s="212"/>
      <c r="R63" s="213"/>
      <c r="S63" s="213"/>
      <c r="T63" s="213"/>
      <c r="U63" s="213"/>
      <c r="V63" s="213"/>
      <c r="W63" s="213"/>
      <c r="X63" s="213"/>
      <c r="Y63" s="213"/>
      <c r="Z63" s="214"/>
      <c r="AB63" s="592">
        <f ca="1">IF(AND($D63="Serviço",AB$12&lt;&gt;0,$H63&gt;0,OR(AUTOEVENTO&lt;&gt;"manual",$M63&lt;&gt;1)),ROUND(OFFSET($P63,0,AB$13),15-13*ORÇAMENTO!$AF$7)/$H63*OFFSET(ORÇAMENTO!$X$15,ROW(AB63)-ROW(AB$15),0),0)</f>
        <v>0</v>
      </c>
      <c r="AC63" s="593">
        <f ca="1">IF(AND($D63="Serviço",AC$12&lt;&gt;0,$H63&gt;0,OR(AUTOEVENTO&lt;&gt;"manual",$M63&lt;&gt;1)),ROUND(OFFSET($P63,0,AC$13),15-13*ORÇAMENTO!$AF$7)/$H63*OFFSET(ORÇAMENTO!$X$15,ROW(AC63)-ROW(AC$15),0),0)</f>
        <v>0</v>
      </c>
      <c r="AD63" s="593">
        <f ca="1">IF(AND($D63="Serviço",AD$12&lt;&gt;0,$H63&gt;0,OR(AUTOEVENTO&lt;&gt;"manual",$M63&lt;&gt;1)),ROUND(OFFSET($P63,0,AD$13),15-13*ORÇAMENTO!$AF$7)/$H63*OFFSET(ORÇAMENTO!$X$15,ROW(AD63)-ROW(AD$15),0),0)</f>
        <v>0</v>
      </c>
      <c r="AE63" s="593">
        <f ca="1">IF(AND($D63="Serviço",AE$12&lt;&gt;0,$H63&gt;0,OR(AUTOEVENTO&lt;&gt;"manual",$M63&lt;&gt;1)),ROUND(OFFSET($P63,0,AE$13),15-13*ORÇAMENTO!$AF$7)/$H63*OFFSET(ORÇAMENTO!$X$15,ROW(AE63)-ROW(AE$15),0),0)</f>
        <v>0</v>
      </c>
      <c r="AF63" s="593">
        <f ca="1">IF(AND($D63="Serviço",AF$12&lt;&gt;0,$H63&gt;0,OR(AUTOEVENTO&lt;&gt;"manual",$M63&lt;&gt;1)),ROUND(OFFSET($P63,0,AF$13),15-13*ORÇAMENTO!$AF$7)/$H63*OFFSET(ORÇAMENTO!$X$15,ROW(AF63)-ROW(AF$15),0),0)</f>
        <v>0</v>
      </c>
      <c r="AG63" s="593">
        <f ca="1">IF(AND($D63="Serviço",AG$12&lt;&gt;0,$H63&gt;0,OR(AUTOEVENTO&lt;&gt;"manual",$M63&lt;&gt;1)),ROUND(OFFSET($P63,0,AG$13),15-13*ORÇAMENTO!$AF$7)/$H63*OFFSET(ORÇAMENTO!$X$15,ROW(AG63)-ROW(AG$15),0),0)</f>
        <v>0</v>
      </c>
      <c r="AH63" s="593">
        <f ca="1">IF(AND($D63="Serviço",AH$12&lt;&gt;0,$H63&gt;0,OR(AUTOEVENTO&lt;&gt;"manual",$M63&lt;&gt;1)),ROUND(OFFSET($P63,0,AH$13),15-13*ORÇAMENTO!$AF$7)/$H63*OFFSET(ORÇAMENTO!$X$15,ROW(AH63)-ROW(AH$15),0),0)</f>
        <v>0</v>
      </c>
      <c r="AI63" s="593">
        <f ca="1">IF(AND($D63="Serviço",AI$12&lt;&gt;0,$H63&gt;0,OR(AUTOEVENTO&lt;&gt;"manual",$M63&lt;&gt;1)),ROUND(OFFSET($P63,0,AI$13),15-13*ORÇAMENTO!$AF$7)/$H63*OFFSET(ORÇAMENTO!$X$15,ROW(AI63)-ROW(AI$15),0),0)</f>
        <v>0</v>
      </c>
      <c r="AJ63" s="593">
        <f ca="1">IF(AND($D63="Serviço",AJ$12&lt;&gt;0,$H63&gt;0,OR(AUTOEVENTO&lt;&gt;"manual",$M63&lt;&gt;1)),ROUND(OFFSET($P63,0,AJ$13),15-13*ORÇAMENTO!$AF$7)/$H63*OFFSET(ORÇAMENTO!$X$15,ROW(AJ63)-ROW(AJ$15),0),0)</f>
        <v>0</v>
      </c>
      <c r="AK63" s="594">
        <f ca="1">IF(AND($D63="Serviço",AK$12&lt;&gt;0,$H63&gt;0,OR(AUTOEVENTO&lt;&gt;"manual",$M63&lt;&gt;1)),ROUND(OFFSET($P63,0,AK$13),15-13*ORÇAMENTO!$AF$7)/$H63*OFFSET(ORÇAMENTO!$X$15,ROW(AK63)-ROW(AK$15),0),0)</f>
        <v>0</v>
      </c>
      <c r="AM63" s="215">
        <f ca="1">IF($D63&lt;&gt;"Serviço",0,IF(AND(AUTOEVENTO="Manual",$M63=1),0,IF(OFFSET(CRONOPLE!$F$14,$M63,AM$13)="",10^12,OFFSET(CRONOPLE!$F$14,$M63,AM$13))))</f>
        <v>2</v>
      </c>
      <c r="AN63" s="215">
        <f ca="1">IF($D63&lt;&gt;"Serviço",0,IF(AND(AUTOEVENTO="Manual",$M63=1),0,IF(OFFSET(CRONOPLE!$F$14,$M63,AN$13)="",10^12,OFFSET(CRONOPLE!$F$14,$M63,AN$13))))</f>
        <v>2</v>
      </c>
      <c r="AO63" s="215">
        <f ca="1">IF($D63&lt;&gt;"Serviço",0,IF(AND(AUTOEVENTO="Manual",$M63=1),0,IF(OFFSET(CRONOPLE!$F$14,$M63,AO$13)="",10^12,OFFSET(CRONOPLE!$F$14,$M63,AO$13))))</f>
        <v>3</v>
      </c>
      <c r="AP63" s="215">
        <f ca="1">IF($D63&lt;&gt;"Serviço",0,IF(AND(AUTOEVENTO="Manual",$M63=1),0,IF(OFFSET(CRONOPLE!$F$14,$M63,AP$13)="",10^12,OFFSET(CRONOPLE!$F$14,$M63,AP$13))))</f>
        <v>1000000000000</v>
      </c>
      <c r="AQ63" s="215">
        <f ca="1">IF($D63&lt;&gt;"Serviço",0,IF(AND(AUTOEVENTO="Manual",$M63=1),0,IF(OFFSET(CRONOPLE!$F$14,$M63,AQ$13)="",10^12,OFFSET(CRONOPLE!$F$14,$M63,AQ$13))))</f>
        <v>1000000000000</v>
      </c>
      <c r="AR63" s="215">
        <f ca="1">IF($D63&lt;&gt;"Serviço",0,IF(AND(AUTOEVENTO="Manual",$M63=1),0,IF(OFFSET(CRONOPLE!$F$14,$M63,AR$13)="",10^12,OFFSET(CRONOPLE!$F$14,$M63,AR$13))))</f>
        <v>1000000000000</v>
      </c>
      <c r="AS63" s="215">
        <f ca="1">IF($D63&lt;&gt;"Serviço",0,IF(AND(AUTOEVENTO="Manual",$M63=1),0,IF(OFFSET(CRONOPLE!$F$14,$M63,AS$13)="",10^12,OFFSET(CRONOPLE!$F$14,$M63,AS$13))))</f>
        <v>1000000000000</v>
      </c>
      <c r="AT63" s="215">
        <f ca="1">IF($D63&lt;&gt;"Serviço",0,IF(AND(AUTOEVENTO="Manual",$M63=1),0,IF(OFFSET(CRONOPLE!$F$14,$M63,AT$13)="",10^12,OFFSET(CRONOPLE!$F$14,$M63,AT$13))))</f>
        <v>1000000000000</v>
      </c>
      <c r="AU63" s="215">
        <f ca="1">IF($D63&lt;&gt;"Serviço",0,IF(AND(AUTOEVENTO="Manual",$M63=1),0,IF(OFFSET(CRONOPLE!$F$14,$M63,AU$13)="",10^12,OFFSET(CRONOPLE!$F$14,$M63,AU$13))))</f>
        <v>1000000000000</v>
      </c>
      <c r="AV63" s="215">
        <f ca="1">IF($D63&lt;&gt;"Serviço",0,IF(AND(AUTOEVENTO="Manual",$M63=1),0,IF(OFFSET(CRONOPLE!$F$14,$M63,AV$13)="",10^12,OFFSET(CRONOPLE!$F$14,$M63,AV$13))))</f>
        <v>1000000000000</v>
      </c>
      <c r="AX63" s="216">
        <f ca="1">IF($D63&lt;&gt;"Serviço",0,IF(OR(AND(AUTOEVENTO="Manual",$M63=1),$M63&gt;(ROW(PLE.lastrow)-ROW(PLE.firstrow))),0,IF(OFFSET(PLE!$G$14,$M63,AX$13)="",10^12,OFFSET(PLE!$G$14,$M63,AX$13))))</f>
        <v>1000000000000</v>
      </c>
      <c r="AY63" s="216">
        <f ca="1">IF($D63&lt;&gt;"Serviço",0,IF(OR(AND(AUTOEVENTO="Manual",$M63=1),$M63&gt;(ROW(PLE.lastrow)-ROW(PLE.firstrow))),0,IF(OFFSET(PLE!$G$14,$M63,AY$13)="",10^12,OFFSET(PLE!$G$14,$M63,AY$13))))</f>
        <v>1000000000000</v>
      </c>
      <c r="AZ63" s="216">
        <f ca="1">IF($D63&lt;&gt;"Serviço",0,IF(OR(AND(AUTOEVENTO="Manual",$M63=1),$M63&gt;(ROW(PLE.lastrow)-ROW(PLE.firstrow))),0,IF(OFFSET(PLE!$G$14,$M63,AZ$13)="",10^12,OFFSET(PLE!$G$14,$M63,AZ$13))))</f>
        <v>1000000000000</v>
      </c>
      <c r="BA63" s="216">
        <f ca="1">IF($D63&lt;&gt;"Serviço",0,IF(OR(AND(AUTOEVENTO="Manual",$M63=1),$M63&gt;(ROW(PLE.lastrow)-ROW(PLE.firstrow))),0,IF(OFFSET(PLE!$G$14,$M63,BA$13)="",10^12,OFFSET(PLE!$G$14,$M63,BA$13))))</f>
        <v>1000000000000</v>
      </c>
      <c r="BB63" s="216">
        <f ca="1">IF($D63&lt;&gt;"Serviço",0,IF(OR(AND(AUTOEVENTO="Manual",$M63=1),$M63&gt;(ROW(PLE.lastrow)-ROW(PLE.firstrow))),0,IF(OFFSET(PLE!$G$14,$M63,BB$13)="",10^12,OFFSET(PLE!$G$14,$M63,BB$13))))</f>
        <v>1000000000000</v>
      </c>
      <c r="BC63" s="216">
        <f ca="1">IF($D63&lt;&gt;"Serviço",0,IF(OR(AND(AUTOEVENTO="Manual",$M63=1),$M63&gt;(ROW(PLE.lastrow)-ROW(PLE.firstrow))),0,IF(OFFSET(PLE!$G$14,$M63,BC$13)="",10^12,OFFSET(PLE!$G$14,$M63,BC$13))))</f>
        <v>1000000000000</v>
      </c>
      <c r="BD63" s="216">
        <f ca="1">IF($D63&lt;&gt;"Serviço",0,IF(OR(AND(AUTOEVENTO="Manual",$M63=1),$M63&gt;(ROW(PLE.lastrow)-ROW(PLE.firstrow))),0,IF(OFFSET(PLE!$G$14,$M63,BD$13)="",10^12,OFFSET(PLE!$G$14,$M63,BD$13))))</f>
        <v>1000000000000</v>
      </c>
      <c r="BE63" s="216">
        <f ca="1">IF($D63&lt;&gt;"Serviço",0,IF(OR(AND(AUTOEVENTO="Manual",$M63=1),$M63&gt;(ROW(PLE.lastrow)-ROW(PLE.firstrow))),0,IF(OFFSET(PLE!$G$14,$M63,BE$13)="",10^12,OFFSET(PLE!$G$14,$M63,BE$13))))</f>
        <v>1000000000000</v>
      </c>
      <c r="BF63" s="216">
        <f ca="1">IF($D63&lt;&gt;"Serviço",0,IF(OR(AND(AUTOEVENTO="Manual",$M63=1),$M63&gt;(ROW(PLE.lastrow)-ROW(PLE.firstrow))),0,IF(OFFSET(PLE!$G$14,$M63,BF$13)="",10^12,OFFSET(PLE!$G$14,$M63,BF$13))))</f>
        <v>1000000000000</v>
      </c>
      <c r="BG63" s="216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37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5" t="str">
        <f ca="1">OFFSET(ORÇAMENTO!N$15,ROW(D64)-ROW(D$15),0)</f>
        <v>Serviço</v>
      </c>
      <c r="E64" s="205" t="str">
        <f ca="1">OFFSET(ORÇAMENTO!O$15,ROW(E64)-ROW(E$15),0)</f>
        <v>-</v>
      </c>
      <c r="F64" s="206" t="str">
        <f ca="1">OFFSET(ORÇAMENTO!R$15,ROW(F64)-ROW(F$15),0)</f>
        <v>(abra o arquivo 'Referência 05-2023.xls)</v>
      </c>
      <c r="G64" s="207" t="str">
        <f ca="1">IF($D64&lt;&gt;"Serviço","",OFFSET(ORÇAMENTO!S$15,ROW(G64)-ROW(G$15),0))</f>
        <v>-</v>
      </c>
      <c r="H64" s="151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1"/>
      <c r="K64" s="208"/>
      <c r="L64" s="209" t="s">
        <v>254</v>
      </c>
      <c r="M64" s="210">
        <f ca="1">IF($D64&lt;&gt;"Serviço","",IF(AUTOEVENTO="manual",$A64,IF(ISERROR(MATCH($A64,$A$15:OFFSET($A64,-1,0),0)),MAX($M$15:OFFSET(M64,-1,0))+1,INDEX($M$15:OFFSET(M64,-1,0),MATCH($A64,$A$15:OFFSET($A64,-1,0),0)))))</f>
        <v>5</v>
      </c>
      <c r="N64" s="211" t="str">
        <f ca="1">IF($D64&lt;&gt;"Serviço","",IF(AUTOEVENTO="Manual",IF($A64=0,"&lt;-- defina o número do agrupador",OFFSET(EVENTOS!$D$14,$A64,0)),OFFSET($F$15,$A64,0)))</f>
        <v>PINTURAS E TEXTURAS</v>
      </c>
      <c r="O64" s="212"/>
      <c r="Q64" s="212"/>
      <c r="R64" s="213"/>
      <c r="S64" s="213"/>
      <c r="T64" s="213"/>
      <c r="U64" s="213"/>
      <c r="V64" s="213"/>
      <c r="W64" s="213"/>
      <c r="X64" s="213"/>
      <c r="Y64" s="213"/>
      <c r="Z64" s="214"/>
      <c r="AB64" s="592">
        <f ca="1">IF(AND($D64="Serviço",AB$12&lt;&gt;0,$H64&gt;0,OR(AUTOEVENTO&lt;&gt;"manual",$M64&lt;&gt;1)),ROUND(OFFSET($P64,0,AB$13),15-13*ORÇAMENTO!$AF$7)/$H64*OFFSET(ORÇAMENTO!$X$15,ROW(AB64)-ROW(AB$15),0),0)</f>
        <v>0</v>
      </c>
      <c r="AC64" s="593">
        <f ca="1">IF(AND($D64="Serviço",AC$12&lt;&gt;0,$H64&gt;0,OR(AUTOEVENTO&lt;&gt;"manual",$M64&lt;&gt;1)),ROUND(OFFSET($P64,0,AC$13),15-13*ORÇAMENTO!$AF$7)/$H64*OFFSET(ORÇAMENTO!$X$15,ROW(AC64)-ROW(AC$15),0),0)</f>
        <v>0</v>
      </c>
      <c r="AD64" s="593">
        <f ca="1">IF(AND($D64="Serviço",AD$12&lt;&gt;0,$H64&gt;0,OR(AUTOEVENTO&lt;&gt;"manual",$M64&lt;&gt;1)),ROUND(OFFSET($P64,0,AD$13),15-13*ORÇAMENTO!$AF$7)/$H64*OFFSET(ORÇAMENTO!$X$15,ROW(AD64)-ROW(AD$15),0),0)</f>
        <v>0</v>
      </c>
      <c r="AE64" s="593">
        <f ca="1">IF(AND($D64="Serviço",AE$12&lt;&gt;0,$H64&gt;0,OR(AUTOEVENTO&lt;&gt;"manual",$M64&lt;&gt;1)),ROUND(OFFSET($P64,0,AE$13),15-13*ORÇAMENTO!$AF$7)/$H64*OFFSET(ORÇAMENTO!$X$15,ROW(AE64)-ROW(AE$15),0),0)</f>
        <v>0</v>
      </c>
      <c r="AF64" s="593">
        <f ca="1">IF(AND($D64="Serviço",AF$12&lt;&gt;0,$H64&gt;0,OR(AUTOEVENTO&lt;&gt;"manual",$M64&lt;&gt;1)),ROUND(OFFSET($P64,0,AF$13),15-13*ORÇAMENTO!$AF$7)/$H64*OFFSET(ORÇAMENTO!$X$15,ROW(AF64)-ROW(AF$15),0),0)</f>
        <v>0</v>
      </c>
      <c r="AG64" s="593">
        <f ca="1">IF(AND($D64="Serviço",AG$12&lt;&gt;0,$H64&gt;0,OR(AUTOEVENTO&lt;&gt;"manual",$M64&lt;&gt;1)),ROUND(OFFSET($P64,0,AG$13),15-13*ORÇAMENTO!$AF$7)/$H64*OFFSET(ORÇAMENTO!$X$15,ROW(AG64)-ROW(AG$15),0),0)</f>
        <v>0</v>
      </c>
      <c r="AH64" s="593">
        <f ca="1">IF(AND($D64="Serviço",AH$12&lt;&gt;0,$H64&gt;0,OR(AUTOEVENTO&lt;&gt;"manual",$M64&lt;&gt;1)),ROUND(OFFSET($P64,0,AH$13),15-13*ORÇAMENTO!$AF$7)/$H64*OFFSET(ORÇAMENTO!$X$15,ROW(AH64)-ROW(AH$15),0),0)</f>
        <v>0</v>
      </c>
      <c r="AI64" s="593">
        <f ca="1">IF(AND($D64="Serviço",AI$12&lt;&gt;0,$H64&gt;0,OR(AUTOEVENTO&lt;&gt;"manual",$M64&lt;&gt;1)),ROUND(OFFSET($P64,0,AI$13),15-13*ORÇAMENTO!$AF$7)/$H64*OFFSET(ORÇAMENTO!$X$15,ROW(AI64)-ROW(AI$15),0),0)</f>
        <v>0</v>
      </c>
      <c r="AJ64" s="593">
        <f ca="1">IF(AND($D64="Serviço",AJ$12&lt;&gt;0,$H64&gt;0,OR(AUTOEVENTO&lt;&gt;"manual",$M64&lt;&gt;1)),ROUND(OFFSET($P64,0,AJ$13),15-13*ORÇAMENTO!$AF$7)/$H64*OFFSET(ORÇAMENTO!$X$15,ROW(AJ64)-ROW(AJ$15),0),0)</f>
        <v>0</v>
      </c>
      <c r="AK64" s="594">
        <f ca="1">IF(AND($D64="Serviço",AK$12&lt;&gt;0,$H64&gt;0,OR(AUTOEVENTO&lt;&gt;"manual",$M64&lt;&gt;1)),ROUND(OFFSET($P64,0,AK$13),15-13*ORÇAMENTO!$AF$7)/$H64*OFFSET(ORÇAMENTO!$X$15,ROW(AK64)-ROW(AK$15),0),0)</f>
        <v>0</v>
      </c>
      <c r="AM64" s="215">
        <f ca="1">IF($D64&lt;&gt;"Serviço",0,IF(AND(AUTOEVENTO="Manual",$M64=1),0,IF(OFFSET(CRONOPLE!$F$14,$M64,AM$13)="",10^12,OFFSET(CRONOPLE!$F$14,$M64,AM$13))))</f>
        <v>2</v>
      </c>
      <c r="AN64" s="215">
        <f ca="1">IF($D64&lt;&gt;"Serviço",0,IF(AND(AUTOEVENTO="Manual",$M64=1),0,IF(OFFSET(CRONOPLE!$F$14,$M64,AN$13)="",10^12,OFFSET(CRONOPLE!$F$14,$M64,AN$13))))</f>
        <v>2</v>
      </c>
      <c r="AO64" s="215">
        <f ca="1">IF($D64&lt;&gt;"Serviço",0,IF(AND(AUTOEVENTO="Manual",$M64=1),0,IF(OFFSET(CRONOPLE!$F$14,$M64,AO$13)="",10^12,OFFSET(CRONOPLE!$F$14,$M64,AO$13))))</f>
        <v>3</v>
      </c>
      <c r="AP64" s="215">
        <f ca="1">IF($D64&lt;&gt;"Serviço",0,IF(AND(AUTOEVENTO="Manual",$M64=1),0,IF(OFFSET(CRONOPLE!$F$14,$M64,AP$13)="",10^12,OFFSET(CRONOPLE!$F$14,$M64,AP$13))))</f>
        <v>1000000000000</v>
      </c>
      <c r="AQ64" s="215">
        <f ca="1">IF($D64&lt;&gt;"Serviço",0,IF(AND(AUTOEVENTO="Manual",$M64=1),0,IF(OFFSET(CRONOPLE!$F$14,$M64,AQ$13)="",10^12,OFFSET(CRONOPLE!$F$14,$M64,AQ$13))))</f>
        <v>1000000000000</v>
      </c>
      <c r="AR64" s="215">
        <f ca="1">IF($D64&lt;&gt;"Serviço",0,IF(AND(AUTOEVENTO="Manual",$M64=1),0,IF(OFFSET(CRONOPLE!$F$14,$M64,AR$13)="",10^12,OFFSET(CRONOPLE!$F$14,$M64,AR$13))))</f>
        <v>1000000000000</v>
      </c>
      <c r="AS64" s="215">
        <f ca="1">IF($D64&lt;&gt;"Serviço",0,IF(AND(AUTOEVENTO="Manual",$M64=1),0,IF(OFFSET(CRONOPLE!$F$14,$M64,AS$13)="",10^12,OFFSET(CRONOPLE!$F$14,$M64,AS$13))))</f>
        <v>1000000000000</v>
      </c>
      <c r="AT64" s="215">
        <f ca="1">IF($D64&lt;&gt;"Serviço",0,IF(AND(AUTOEVENTO="Manual",$M64=1),0,IF(OFFSET(CRONOPLE!$F$14,$M64,AT$13)="",10^12,OFFSET(CRONOPLE!$F$14,$M64,AT$13))))</f>
        <v>1000000000000</v>
      </c>
      <c r="AU64" s="215">
        <f ca="1">IF($D64&lt;&gt;"Serviço",0,IF(AND(AUTOEVENTO="Manual",$M64=1),0,IF(OFFSET(CRONOPLE!$F$14,$M64,AU$13)="",10^12,OFFSET(CRONOPLE!$F$14,$M64,AU$13))))</f>
        <v>1000000000000</v>
      </c>
      <c r="AV64" s="215">
        <f ca="1">IF($D64&lt;&gt;"Serviço",0,IF(AND(AUTOEVENTO="Manual",$M64=1),0,IF(OFFSET(CRONOPLE!$F$14,$M64,AV$13)="",10^12,OFFSET(CRONOPLE!$F$14,$M64,AV$13))))</f>
        <v>1000000000000</v>
      </c>
      <c r="AX64" s="216">
        <f ca="1">IF($D64&lt;&gt;"Serviço",0,IF(OR(AND(AUTOEVENTO="Manual",$M64=1),$M64&gt;(ROW(PLE.lastrow)-ROW(PLE.firstrow))),0,IF(OFFSET(PLE!$G$14,$M64,AX$13)="",10^12,OFFSET(PLE!$G$14,$M64,AX$13))))</f>
        <v>1000000000000</v>
      </c>
      <c r="AY64" s="216">
        <f ca="1">IF($D64&lt;&gt;"Serviço",0,IF(OR(AND(AUTOEVENTO="Manual",$M64=1),$M64&gt;(ROW(PLE.lastrow)-ROW(PLE.firstrow))),0,IF(OFFSET(PLE!$G$14,$M64,AY$13)="",10^12,OFFSET(PLE!$G$14,$M64,AY$13))))</f>
        <v>1000000000000</v>
      </c>
      <c r="AZ64" s="216">
        <f ca="1">IF($D64&lt;&gt;"Serviço",0,IF(OR(AND(AUTOEVENTO="Manual",$M64=1),$M64&gt;(ROW(PLE.lastrow)-ROW(PLE.firstrow))),0,IF(OFFSET(PLE!$G$14,$M64,AZ$13)="",10^12,OFFSET(PLE!$G$14,$M64,AZ$13))))</f>
        <v>1000000000000</v>
      </c>
      <c r="BA64" s="216">
        <f ca="1">IF($D64&lt;&gt;"Serviço",0,IF(OR(AND(AUTOEVENTO="Manual",$M64=1),$M64&gt;(ROW(PLE.lastrow)-ROW(PLE.firstrow))),0,IF(OFFSET(PLE!$G$14,$M64,BA$13)="",10^12,OFFSET(PLE!$G$14,$M64,BA$13))))</f>
        <v>1000000000000</v>
      </c>
      <c r="BB64" s="216">
        <f ca="1">IF($D64&lt;&gt;"Serviço",0,IF(OR(AND(AUTOEVENTO="Manual",$M64=1),$M64&gt;(ROW(PLE.lastrow)-ROW(PLE.firstrow))),0,IF(OFFSET(PLE!$G$14,$M64,BB$13)="",10^12,OFFSET(PLE!$G$14,$M64,BB$13))))</f>
        <v>1000000000000</v>
      </c>
      <c r="BC64" s="216">
        <f ca="1">IF($D64&lt;&gt;"Serviço",0,IF(OR(AND(AUTOEVENTO="Manual",$M64=1),$M64&gt;(ROW(PLE.lastrow)-ROW(PLE.firstrow))),0,IF(OFFSET(PLE!$G$14,$M64,BC$13)="",10^12,OFFSET(PLE!$G$14,$M64,BC$13))))</f>
        <v>1000000000000</v>
      </c>
      <c r="BD64" s="216">
        <f ca="1">IF($D64&lt;&gt;"Serviço",0,IF(OR(AND(AUTOEVENTO="Manual",$M64=1),$M64&gt;(ROW(PLE.lastrow)-ROW(PLE.firstrow))),0,IF(OFFSET(PLE!$G$14,$M64,BD$13)="",10^12,OFFSET(PLE!$G$14,$M64,BD$13))))</f>
        <v>1000000000000</v>
      </c>
      <c r="BE64" s="216">
        <f ca="1">IF($D64&lt;&gt;"Serviço",0,IF(OR(AND(AUTOEVENTO="Manual",$M64=1),$M64&gt;(ROW(PLE.lastrow)-ROW(PLE.firstrow))),0,IF(OFFSET(PLE!$G$14,$M64,BE$13)="",10^12,OFFSET(PLE!$G$14,$M64,BE$13))))</f>
        <v>1000000000000</v>
      </c>
      <c r="BF64" s="216">
        <f ca="1">IF($D64&lt;&gt;"Serviço",0,IF(OR(AND(AUTOEVENTO="Manual",$M64=1),$M64&gt;(ROW(PLE.lastrow)-ROW(PLE.firstrow))),0,IF(OFFSET(PLE!$G$14,$M64,BF$13)="",10^12,OFFSET(PLE!$G$14,$M64,BF$13))))</f>
        <v>1000000000000</v>
      </c>
      <c r="BG64" s="216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37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5" t="str">
        <f ca="1">OFFSET(ORÇAMENTO!N$15,ROW(D65)-ROW(D$15),0)</f>
        <v>Serviço</v>
      </c>
      <c r="E65" s="205" t="str">
        <f ca="1">OFFSET(ORÇAMENTO!O$15,ROW(E65)-ROW(E$15),0)</f>
        <v>-</v>
      </c>
      <c r="F65" s="206" t="str">
        <f ca="1">OFFSET(ORÇAMENTO!R$15,ROW(F65)-ROW(F$15),0)</f>
        <v>(abra o arquivo 'Referência 05-2023.xls)</v>
      </c>
      <c r="G65" s="207" t="str">
        <f ca="1">IF($D65&lt;&gt;"Serviço","",OFFSET(ORÇAMENTO!S$15,ROW(G65)-ROW(G$15),0))</f>
        <v>-</v>
      </c>
      <c r="H65" s="151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1"/>
      <c r="K65" s="208"/>
      <c r="L65" s="209" t="s">
        <v>254</v>
      </c>
      <c r="M65" s="210">
        <f ca="1">IF($D65&lt;&gt;"Serviço","",IF(AUTOEVENTO="manual",$A65,IF(ISERROR(MATCH($A65,$A$15:OFFSET($A65,-1,0),0)),MAX($M$15:OFFSET(M65,-1,0))+1,INDEX($M$15:OFFSET(M65,-1,0),MATCH($A65,$A$15:OFFSET($A65,-1,0),0)))))</f>
        <v>5</v>
      </c>
      <c r="N65" s="211" t="str">
        <f ca="1">IF($D65&lt;&gt;"Serviço","",IF(AUTOEVENTO="Manual",IF($A65=0,"&lt;-- defina o número do agrupador",OFFSET(EVENTOS!$D$14,$A65,0)),OFFSET($F$15,$A65,0)))</f>
        <v>PINTURAS E TEXTURAS</v>
      </c>
      <c r="O65" s="212"/>
      <c r="Q65" s="212"/>
      <c r="R65" s="213"/>
      <c r="S65" s="213"/>
      <c r="T65" s="213"/>
      <c r="U65" s="213"/>
      <c r="V65" s="213"/>
      <c r="W65" s="213"/>
      <c r="X65" s="213"/>
      <c r="Y65" s="213"/>
      <c r="Z65" s="214"/>
      <c r="AB65" s="592">
        <f ca="1">IF(AND($D65="Serviço",AB$12&lt;&gt;0,$H65&gt;0,OR(AUTOEVENTO&lt;&gt;"manual",$M65&lt;&gt;1)),ROUND(OFFSET($P65,0,AB$13),15-13*ORÇAMENTO!$AF$7)/$H65*OFFSET(ORÇAMENTO!$X$15,ROW(AB65)-ROW(AB$15),0),0)</f>
        <v>0</v>
      </c>
      <c r="AC65" s="593">
        <f ca="1">IF(AND($D65="Serviço",AC$12&lt;&gt;0,$H65&gt;0,OR(AUTOEVENTO&lt;&gt;"manual",$M65&lt;&gt;1)),ROUND(OFFSET($P65,0,AC$13),15-13*ORÇAMENTO!$AF$7)/$H65*OFFSET(ORÇAMENTO!$X$15,ROW(AC65)-ROW(AC$15),0),0)</f>
        <v>0</v>
      </c>
      <c r="AD65" s="593">
        <f ca="1">IF(AND($D65="Serviço",AD$12&lt;&gt;0,$H65&gt;0,OR(AUTOEVENTO&lt;&gt;"manual",$M65&lt;&gt;1)),ROUND(OFFSET($P65,0,AD$13),15-13*ORÇAMENTO!$AF$7)/$H65*OFFSET(ORÇAMENTO!$X$15,ROW(AD65)-ROW(AD$15),0),0)</f>
        <v>0</v>
      </c>
      <c r="AE65" s="593">
        <f ca="1">IF(AND($D65="Serviço",AE$12&lt;&gt;0,$H65&gt;0,OR(AUTOEVENTO&lt;&gt;"manual",$M65&lt;&gt;1)),ROUND(OFFSET($P65,0,AE$13),15-13*ORÇAMENTO!$AF$7)/$H65*OFFSET(ORÇAMENTO!$X$15,ROW(AE65)-ROW(AE$15),0),0)</f>
        <v>0</v>
      </c>
      <c r="AF65" s="593">
        <f ca="1">IF(AND($D65="Serviço",AF$12&lt;&gt;0,$H65&gt;0,OR(AUTOEVENTO&lt;&gt;"manual",$M65&lt;&gt;1)),ROUND(OFFSET($P65,0,AF$13),15-13*ORÇAMENTO!$AF$7)/$H65*OFFSET(ORÇAMENTO!$X$15,ROW(AF65)-ROW(AF$15),0),0)</f>
        <v>0</v>
      </c>
      <c r="AG65" s="593">
        <f ca="1">IF(AND($D65="Serviço",AG$12&lt;&gt;0,$H65&gt;0,OR(AUTOEVENTO&lt;&gt;"manual",$M65&lt;&gt;1)),ROUND(OFFSET($P65,0,AG$13),15-13*ORÇAMENTO!$AF$7)/$H65*OFFSET(ORÇAMENTO!$X$15,ROW(AG65)-ROW(AG$15),0),0)</f>
        <v>0</v>
      </c>
      <c r="AH65" s="593">
        <f ca="1">IF(AND($D65="Serviço",AH$12&lt;&gt;0,$H65&gt;0,OR(AUTOEVENTO&lt;&gt;"manual",$M65&lt;&gt;1)),ROUND(OFFSET($P65,0,AH$13),15-13*ORÇAMENTO!$AF$7)/$H65*OFFSET(ORÇAMENTO!$X$15,ROW(AH65)-ROW(AH$15),0),0)</f>
        <v>0</v>
      </c>
      <c r="AI65" s="593">
        <f ca="1">IF(AND($D65="Serviço",AI$12&lt;&gt;0,$H65&gt;0,OR(AUTOEVENTO&lt;&gt;"manual",$M65&lt;&gt;1)),ROUND(OFFSET($P65,0,AI$13),15-13*ORÇAMENTO!$AF$7)/$H65*OFFSET(ORÇAMENTO!$X$15,ROW(AI65)-ROW(AI$15),0),0)</f>
        <v>0</v>
      </c>
      <c r="AJ65" s="593">
        <f ca="1">IF(AND($D65="Serviço",AJ$12&lt;&gt;0,$H65&gt;0,OR(AUTOEVENTO&lt;&gt;"manual",$M65&lt;&gt;1)),ROUND(OFFSET($P65,0,AJ$13),15-13*ORÇAMENTO!$AF$7)/$H65*OFFSET(ORÇAMENTO!$X$15,ROW(AJ65)-ROW(AJ$15),0),0)</f>
        <v>0</v>
      </c>
      <c r="AK65" s="594">
        <f ca="1">IF(AND($D65="Serviço",AK$12&lt;&gt;0,$H65&gt;0,OR(AUTOEVENTO&lt;&gt;"manual",$M65&lt;&gt;1)),ROUND(OFFSET($P65,0,AK$13),15-13*ORÇAMENTO!$AF$7)/$H65*OFFSET(ORÇAMENTO!$X$15,ROW(AK65)-ROW(AK$15),0),0)</f>
        <v>0</v>
      </c>
      <c r="AM65" s="215">
        <f ca="1">IF($D65&lt;&gt;"Serviço",0,IF(AND(AUTOEVENTO="Manual",$M65=1),0,IF(OFFSET(CRONOPLE!$F$14,$M65,AM$13)="",10^12,OFFSET(CRONOPLE!$F$14,$M65,AM$13))))</f>
        <v>2</v>
      </c>
      <c r="AN65" s="215">
        <f ca="1">IF($D65&lt;&gt;"Serviço",0,IF(AND(AUTOEVENTO="Manual",$M65=1),0,IF(OFFSET(CRONOPLE!$F$14,$M65,AN$13)="",10^12,OFFSET(CRONOPLE!$F$14,$M65,AN$13))))</f>
        <v>2</v>
      </c>
      <c r="AO65" s="215">
        <f ca="1">IF($D65&lt;&gt;"Serviço",0,IF(AND(AUTOEVENTO="Manual",$M65=1),0,IF(OFFSET(CRONOPLE!$F$14,$M65,AO$13)="",10^12,OFFSET(CRONOPLE!$F$14,$M65,AO$13))))</f>
        <v>3</v>
      </c>
      <c r="AP65" s="215">
        <f ca="1">IF($D65&lt;&gt;"Serviço",0,IF(AND(AUTOEVENTO="Manual",$M65=1),0,IF(OFFSET(CRONOPLE!$F$14,$M65,AP$13)="",10^12,OFFSET(CRONOPLE!$F$14,$M65,AP$13))))</f>
        <v>1000000000000</v>
      </c>
      <c r="AQ65" s="215">
        <f ca="1">IF($D65&lt;&gt;"Serviço",0,IF(AND(AUTOEVENTO="Manual",$M65=1),0,IF(OFFSET(CRONOPLE!$F$14,$M65,AQ$13)="",10^12,OFFSET(CRONOPLE!$F$14,$M65,AQ$13))))</f>
        <v>1000000000000</v>
      </c>
      <c r="AR65" s="215">
        <f ca="1">IF($D65&lt;&gt;"Serviço",0,IF(AND(AUTOEVENTO="Manual",$M65=1),0,IF(OFFSET(CRONOPLE!$F$14,$M65,AR$13)="",10^12,OFFSET(CRONOPLE!$F$14,$M65,AR$13))))</f>
        <v>1000000000000</v>
      </c>
      <c r="AS65" s="215">
        <f ca="1">IF($D65&lt;&gt;"Serviço",0,IF(AND(AUTOEVENTO="Manual",$M65=1),0,IF(OFFSET(CRONOPLE!$F$14,$M65,AS$13)="",10^12,OFFSET(CRONOPLE!$F$14,$M65,AS$13))))</f>
        <v>1000000000000</v>
      </c>
      <c r="AT65" s="215">
        <f ca="1">IF($D65&lt;&gt;"Serviço",0,IF(AND(AUTOEVENTO="Manual",$M65=1),0,IF(OFFSET(CRONOPLE!$F$14,$M65,AT$13)="",10^12,OFFSET(CRONOPLE!$F$14,$M65,AT$13))))</f>
        <v>1000000000000</v>
      </c>
      <c r="AU65" s="215">
        <f ca="1">IF($D65&lt;&gt;"Serviço",0,IF(AND(AUTOEVENTO="Manual",$M65=1),0,IF(OFFSET(CRONOPLE!$F$14,$M65,AU$13)="",10^12,OFFSET(CRONOPLE!$F$14,$M65,AU$13))))</f>
        <v>1000000000000</v>
      </c>
      <c r="AV65" s="215">
        <f ca="1">IF($D65&lt;&gt;"Serviço",0,IF(AND(AUTOEVENTO="Manual",$M65=1),0,IF(OFFSET(CRONOPLE!$F$14,$M65,AV$13)="",10^12,OFFSET(CRONOPLE!$F$14,$M65,AV$13))))</f>
        <v>1000000000000</v>
      </c>
      <c r="AX65" s="216">
        <f ca="1">IF($D65&lt;&gt;"Serviço",0,IF(OR(AND(AUTOEVENTO="Manual",$M65=1),$M65&gt;(ROW(PLE.lastrow)-ROW(PLE.firstrow))),0,IF(OFFSET(PLE!$G$14,$M65,AX$13)="",10^12,OFFSET(PLE!$G$14,$M65,AX$13))))</f>
        <v>1000000000000</v>
      </c>
      <c r="AY65" s="216">
        <f ca="1">IF($D65&lt;&gt;"Serviço",0,IF(OR(AND(AUTOEVENTO="Manual",$M65=1),$M65&gt;(ROW(PLE.lastrow)-ROW(PLE.firstrow))),0,IF(OFFSET(PLE!$G$14,$M65,AY$13)="",10^12,OFFSET(PLE!$G$14,$M65,AY$13))))</f>
        <v>1000000000000</v>
      </c>
      <c r="AZ65" s="216">
        <f ca="1">IF($D65&lt;&gt;"Serviço",0,IF(OR(AND(AUTOEVENTO="Manual",$M65=1),$M65&gt;(ROW(PLE.lastrow)-ROW(PLE.firstrow))),0,IF(OFFSET(PLE!$G$14,$M65,AZ$13)="",10^12,OFFSET(PLE!$G$14,$M65,AZ$13))))</f>
        <v>1000000000000</v>
      </c>
      <c r="BA65" s="216">
        <f ca="1">IF($D65&lt;&gt;"Serviço",0,IF(OR(AND(AUTOEVENTO="Manual",$M65=1),$M65&gt;(ROW(PLE.lastrow)-ROW(PLE.firstrow))),0,IF(OFFSET(PLE!$G$14,$M65,BA$13)="",10^12,OFFSET(PLE!$G$14,$M65,BA$13))))</f>
        <v>1000000000000</v>
      </c>
      <c r="BB65" s="216">
        <f ca="1">IF($D65&lt;&gt;"Serviço",0,IF(OR(AND(AUTOEVENTO="Manual",$M65=1),$M65&gt;(ROW(PLE.lastrow)-ROW(PLE.firstrow))),0,IF(OFFSET(PLE!$G$14,$M65,BB$13)="",10^12,OFFSET(PLE!$G$14,$M65,BB$13))))</f>
        <v>1000000000000</v>
      </c>
      <c r="BC65" s="216">
        <f ca="1">IF($D65&lt;&gt;"Serviço",0,IF(OR(AND(AUTOEVENTO="Manual",$M65=1),$M65&gt;(ROW(PLE.lastrow)-ROW(PLE.firstrow))),0,IF(OFFSET(PLE!$G$14,$M65,BC$13)="",10^12,OFFSET(PLE!$G$14,$M65,BC$13))))</f>
        <v>1000000000000</v>
      </c>
      <c r="BD65" s="216">
        <f ca="1">IF($D65&lt;&gt;"Serviço",0,IF(OR(AND(AUTOEVENTO="Manual",$M65=1),$M65&gt;(ROW(PLE.lastrow)-ROW(PLE.firstrow))),0,IF(OFFSET(PLE!$G$14,$M65,BD$13)="",10^12,OFFSET(PLE!$G$14,$M65,BD$13))))</f>
        <v>1000000000000</v>
      </c>
      <c r="BE65" s="216">
        <f ca="1">IF($D65&lt;&gt;"Serviço",0,IF(OR(AND(AUTOEVENTO="Manual",$M65=1),$M65&gt;(ROW(PLE.lastrow)-ROW(PLE.firstrow))),0,IF(OFFSET(PLE!$G$14,$M65,BE$13)="",10^12,OFFSET(PLE!$G$14,$M65,BE$13))))</f>
        <v>1000000000000</v>
      </c>
      <c r="BF65" s="216">
        <f ca="1">IF($D65&lt;&gt;"Serviço",0,IF(OR(AND(AUTOEVENTO="Manual",$M65=1),$M65&gt;(ROW(PLE.lastrow)-ROW(PLE.firstrow))),0,IF(OFFSET(PLE!$G$14,$M65,BF$13)="",10^12,OFFSET(PLE!$G$14,$M65,BF$13))))</f>
        <v>1000000000000</v>
      </c>
      <c r="BG65" s="216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37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5" t="str">
        <f ca="1">OFFSET(ORÇAMENTO!N$15,ROW(D66)-ROW(D$15),0)</f>
        <v>Serviço</v>
      </c>
      <c r="E66" s="205" t="str">
        <f ca="1">OFFSET(ORÇAMENTO!O$15,ROW(E66)-ROW(E$15),0)</f>
        <v>-</v>
      </c>
      <c r="F66" s="206" t="str">
        <f ca="1">OFFSET(ORÇAMENTO!R$15,ROW(F66)-ROW(F$15),0)</f>
        <v>(abra o arquivo 'Referência 05-2023.xls)</v>
      </c>
      <c r="G66" s="207" t="str">
        <f ca="1">IF($D66&lt;&gt;"Serviço","",OFFSET(ORÇAMENTO!S$15,ROW(G66)-ROW(G$15),0))</f>
        <v>-</v>
      </c>
      <c r="H66" s="151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1"/>
      <c r="K66" s="208"/>
      <c r="L66" s="209" t="s">
        <v>254</v>
      </c>
      <c r="M66" s="210">
        <f ca="1">IF($D66&lt;&gt;"Serviço","",IF(AUTOEVENTO="manual",$A66,IF(ISERROR(MATCH($A66,$A$15:OFFSET($A66,-1,0),0)),MAX($M$15:OFFSET(M66,-1,0))+1,INDEX($M$15:OFFSET(M66,-1,0),MATCH($A66,$A$15:OFFSET($A66,-1,0),0)))))</f>
        <v>5</v>
      </c>
      <c r="N66" s="211" t="str">
        <f ca="1">IF($D66&lt;&gt;"Serviço","",IF(AUTOEVENTO="Manual",IF($A66=0,"&lt;-- defina o número do agrupador",OFFSET(EVENTOS!$D$14,$A66,0)),OFFSET($F$15,$A66,0)))</f>
        <v>PINTURAS E TEXTURAS</v>
      </c>
      <c r="O66" s="212"/>
      <c r="Q66" s="212"/>
      <c r="R66" s="213"/>
      <c r="S66" s="213"/>
      <c r="T66" s="213"/>
      <c r="U66" s="213"/>
      <c r="V66" s="213"/>
      <c r="W66" s="213"/>
      <c r="X66" s="213"/>
      <c r="Y66" s="213"/>
      <c r="Z66" s="214"/>
      <c r="AB66" s="592">
        <f ca="1">IF(AND($D66="Serviço",AB$12&lt;&gt;0,$H66&gt;0,OR(AUTOEVENTO&lt;&gt;"manual",$M66&lt;&gt;1)),ROUND(OFFSET($P66,0,AB$13),15-13*ORÇAMENTO!$AF$7)/$H66*OFFSET(ORÇAMENTO!$X$15,ROW(AB66)-ROW(AB$15),0),0)</f>
        <v>0</v>
      </c>
      <c r="AC66" s="593">
        <f ca="1">IF(AND($D66="Serviço",AC$12&lt;&gt;0,$H66&gt;0,OR(AUTOEVENTO&lt;&gt;"manual",$M66&lt;&gt;1)),ROUND(OFFSET($P66,0,AC$13),15-13*ORÇAMENTO!$AF$7)/$H66*OFFSET(ORÇAMENTO!$X$15,ROW(AC66)-ROW(AC$15),0),0)</f>
        <v>0</v>
      </c>
      <c r="AD66" s="593">
        <f ca="1">IF(AND($D66="Serviço",AD$12&lt;&gt;0,$H66&gt;0,OR(AUTOEVENTO&lt;&gt;"manual",$M66&lt;&gt;1)),ROUND(OFFSET($P66,0,AD$13),15-13*ORÇAMENTO!$AF$7)/$H66*OFFSET(ORÇAMENTO!$X$15,ROW(AD66)-ROW(AD$15),0),0)</f>
        <v>0</v>
      </c>
      <c r="AE66" s="593">
        <f ca="1">IF(AND($D66="Serviço",AE$12&lt;&gt;0,$H66&gt;0,OR(AUTOEVENTO&lt;&gt;"manual",$M66&lt;&gt;1)),ROUND(OFFSET($P66,0,AE$13),15-13*ORÇAMENTO!$AF$7)/$H66*OFFSET(ORÇAMENTO!$X$15,ROW(AE66)-ROW(AE$15),0),0)</f>
        <v>0</v>
      </c>
      <c r="AF66" s="593">
        <f ca="1">IF(AND($D66="Serviço",AF$12&lt;&gt;0,$H66&gt;0,OR(AUTOEVENTO&lt;&gt;"manual",$M66&lt;&gt;1)),ROUND(OFFSET($P66,0,AF$13),15-13*ORÇAMENTO!$AF$7)/$H66*OFFSET(ORÇAMENTO!$X$15,ROW(AF66)-ROW(AF$15),0),0)</f>
        <v>0</v>
      </c>
      <c r="AG66" s="593">
        <f ca="1">IF(AND($D66="Serviço",AG$12&lt;&gt;0,$H66&gt;0,OR(AUTOEVENTO&lt;&gt;"manual",$M66&lt;&gt;1)),ROUND(OFFSET($P66,0,AG$13),15-13*ORÇAMENTO!$AF$7)/$H66*OFFSET(ORÇAMENTO!$X$15,ROW(AG66)-ROW(AG$15),0),0)</f>
        <v>0</v>
      </c>
      <c r="AH66" s="593">
        <f ca="1">IF(AND($D66="Serviço",AH$12&lt;&gt;0,$H66&gt;0,OR(AUTOEVENTO&lt;&gt;"manual",$M66&lt;&gt;1)),ROUND(OFFSET($P66,0,AH$13),15-13*ORÇAMENTO!$AF$7)/$H66*OFFSET(ORÇAMENTO!$X$15,ROW(AH66)-ROW(AH$15),0),0)</f>
        <v>0</v>
      </c>
      <c r="AI66" s="593">
        <f ca="1">IF(AND($D66="Serviço",AI$12&lt;&gt;0,$H66&gt;0,OR(AUTOEVENTO&lt;&gt;"manual",$M66&lt;&gt;1)),ROUND(OFFSET($P66,0,AI$13),15-13*ORÇAMENTO!$AF$7)/$H66*OFFSET(ORÇAMENTO!$X$15,ROW(AI66)-ROW(AI$15),0),0)</f>
        <v>0</v>
      </c>
      <c r="AJ66" s="593">
        <f ca="1">IF(AND($D66="Serviço",AJ$12&lt;&gt;0,$H66&gt;0,OR(AUTOEVENTO&lt;&gt;"manual",$M66&lt;&gt;1)),ROUND(OFFSET($P66,0,AJ$13),15-13*ORÇAMENTO!$AF$7)/$H66*OFFSET(ORÇAMENTO!$X$15,ROW(AJ66)-ROW(AJ$15),0),0)</f>
        <v>0</v>
      </c>
      <c r="AK66" s="594">
        <f ca="1">IF(AND($D66="Serviço",AK$12&lt;&gt;0,$H66&gt;0,OR(AUTOEVENTO&lt;&gt;"manual",$M66&lt;&gt;1)),ROUND(OFFSET($P66,0,AK$13),15-13*ORÇAMENTO!$AF$7)/$H66*OFFSET(ORÇAMENTO!$X$15,ROW(AK66)-ROW(AK$15),0),0)</f>
        <v>0</v>
      </c>
      <c r="AM66" s="215">
        <f ca="1">IF($D66&lt;&gt;"Serviço",0,IF(AND(AUTOEVENTO="Manual",$M66=1),0,IF(OFFSET(CRONOPLE!$F$14,$M66,AM$13)="",10^12,OFFSET(CRONOPLE!$F$14,$M66,AM$13))))</f>
        <v>2</v>
      </c>
      <c r="AN66" s="215">
        <f ca="1">IF($D66&lt;&gt;"Serviço",0,IF(AND(AUTOEVENTO="Manual",$M66=1),0,IF(OFFSET(CRONOPLE!$F$14,$M66,AN$13)="",10^12,OFFSET(CRONOPLE!$F$14,$M66,AN$13))))</f>
        <v>2</v>
      </c>
      <c r="AO66" s="215">
        <f ca="1">IF($D66&lt;&gt;"Serviço",0,IF(AND(AUTOEVENTO="Manual",$M66=1),0,IF(OFFSET(CRONOPLE!$F$14,$M66,AO$13)="",10^12,OFFSET(CRONOPLE!$F$14,$M66,AO$13))))</f>
        <v>3</v>
      </c>
      <c r="AP66" s="215">
        <f ca="1">IF($D66&lt;&gt;"Serviço",0,IF(AND(AUTOEVENTO="Manual",$M66=1),0,IF(OFFSET(CRONOPLE!$F$14,$M66,AP$13)="",10^12,OFFSET(CRONOPLE!$F$14,$M66,AP$13))))</f>
        <v>1000000000000</v>
      </c>
      <c r="AQ66" s="215">
        <f ca="1">IF($D66&lt;&gt;"Serviço",0,IF(AND(AUTOEVENTO="Manual",$M66=1),0,IF(OFFSET(CRONOPLE!$F$14,$M66,AQ$13)="",10^12,OFFSET(CRONOPLE!$F$14,$M66,AQ$13))))</f>
        <v>1000000000000</v>
      </c>
      <c r="AR66" s="215">
        <f ca="1">IF($D66&lt;&gt;"Serviço",0,IF(AND(AUTOEVENTO="Manual",$M66=1),0,IF(OFFSET(CRONOPLE!$F$14,$M66,AR$13)="",10^12,OFFSET(CRONOPLE!$F$14,$M66,AR$13))))</f>
        <v>1000000000000</v>
      </c>
      <c r="AS66" s="215">
        <f ca="1">IF($D66&lt;&gt;"Serviço",0,IF(AND(AUTOEVENTO="Manual",$M66=1),0,IF(OFFSET(CRONOPLE!$F$14,$M66,AS$13)="",10^12,OFFSET(CRONOPLE!$F$14,$M66,AS$13))))</f>
        <v>1000000000000</v>
      </c>
      <c r="AT66" s="215">
        <f ca="1">IF($D66&lt;&gt;"Serviço",0,IF(AND(AUTOEVENTO="Manual",$M66=1),0,IF(OFFSET(CRONOPLE!$F$14,$M66,AT$13)="",10^12,OFFSET(CRONOPLE!$F$14,$M66,AT$13))))</f>
        <v>1000000000000</v>
      </c>
      <c r="AU66" s="215">
        <f ca="1">IF($D66&lt;&gt;"Serviço",0,IF(AND(AUTOEVENTO="Manual",$M66=1),0,IF(OFFSET(CRONOPLE!$F$14,$M66,AU$13)="",10^12,OFFSET(CRONOPLE!$F$14,$M66,AU$13))))</f>
        <v>1000000000000</v>
      </c>
      <c r="AV66" s="215">
        <f ca="1">IF($D66&lt;&gt;"Serviço",0,IF(AND(AUTOEVENTO="Manual",$M66=1),0,IF(OFFSET(CRONOPLE!$F$14,$M66,AV$13)="",10^12,OFFSET(CRONOPLE!$F$14,$M66,AV$13))))</f>
        <v>1000000000000</v>
      </c>
      <c r="AX66" s="216">
        <f ca="1">IF($D66&lt;&gt;"Serviço",0,IF(OR(AND(AUTOEVENTO="Manual",$M66=1),$M66&gt;(ROW(PLE.lastrow)-ROW(PLE.firstrow))),0,IF(OFFSET(PLE!$G$14,$M66,AX$13)="",10^12,OFFSET(PLE!$G$14,$M66,AX$13))))</f>
        <v>1000000000000</v>
      </c>
      <c r="AY66" s="216">
        <f ca="1">IF($D66&lt;&gt;"Serviço",0,IF(OR(AND(AUTOEVENTO="Manual",$M66=1),$M66&gt;(ROW(PLE.lastrow)-ROW(PLE.firstrow))),0,IF(OFFSET(PLE!$G$14,$M66,AY$13)="",10^12,OFFSET(PLE!$G$14,$M66,AY$13))))</f>
        <v>1000000000000</v>
      </c>
      <c r="AZ66" s="216">
        <f ca="1">IF($D66&lt;&gt;"Serviço",0,IF(OR(AND(AUTOEVENTO="Manual",$M66=1),$M66&gt;(ROW(PLE.lastrow)-ROW(PLE.firstrow))),0,IF(OFFSET(PLE!$G$14,$M66,AZ$13)="",10^12,OFFSET(PLE!$G$14,$M66,AZ$13))))</f>
        <v>1000000000000</v>
      </c>
      <c r="BA66" s="216">
        <f ca="1">IF($D66&lt;&gt;"Serviço",0,IF(OR(AND(AUTOEVENTO="Manual",$M66=1),$M66&gt;(ROW(PLE.lastrow)-ROW(PLE.firstrow))),0,IF(OFFSET(PLE!$G$14,$M66,BA$13)="",10^12,OFFSET(PLE!$G$14,$M66,BA$13))))</f>
        <v>1000000000000</v>
      </c>
      <c r="BB66" s="216">
        <f ca="1">IF($D66&lt;&gt;"Serviço",0,IF(OR(AND(AUTOEVENTO="Manual",$M66=1),$M66&gt;(ROW(PLE.lastrow)-ROW(PLE.firstrow))),0,IF(OFFSET(PLE!$G$14,$M66,BB$13)="",10^12,OFFSET(PLE!$G$14,$M66,BB$13))))</f>
        <v>1000000000000</v>
      </c>
      <c r="BC66" s="216">
        <f ca="1">IF($D66&lt;&gt;"Serviço",0,IF(OR(AND(AUTOEVENTO="Manual",$M66=1),$M66&gt;(ROW(PLE.lastrow)-ROW(PLE.firstrow))),0,IF(OFFSET(PLE!$G$14,$M66,BC$13)="",10^12,OFFSET(PLE!$G$14,$M66,BC$13))))</f>
        <v>1000000000000</v>
      </c>
      <c r="BD66" s="216">
        <f ca="1">IF($D66&lt;&gt;"Serviço",0,IF(OR(AND(AUTOEVENTO="Manual",$M66=1),$M66&gt;(ROW(PLE.lastrow)-ROW(PLE.firstrow))),0,IF(OFFSET(PLE!$G$14,$M66,BD$13)="",10^12,OFFSET(PLE!$G$14,$M66,BD$13))))</f>
        <v>1000000000000</v>
      </c>
      <c r="BE66" s="216">
        <f ca="1">IF($D66&lt;&gt;"Serviço",0,IF(OR(AND(AUTOEVENTO="Manual",$M66=1),$M66&gt;(ROW(PLE.lastrow)-ROW(PLE.firstrow))),0,IF(OFFSET(PLE!$G$14,$M66,BE$13)="",10^12,OFFSET(PLE!$G$14,$M66,BE$13))))</f>
        <v>1000000000000</v>
      </c>
      <c r="BF66" s="216">
        <f ca="1">IF($D66&lt;&gt;"Serviço",0,IF(OR(AND(AUTOEVENTO="Manual",$M66=1),$M66&gt;(ROW(PLE.lastrow)-ROW(PLE.firstrow))),0,IF(OFFSET(PLE!$G$14,$M66,BF$13)="",10^12,OFFSET(PLE!$G$14,$M66,BF$13))))</f>
        <v>1000000000000</v>
      </c>
      <c r="BG66" s="216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9" t="str">
        <f t="shared" ca="1" si="8"/>
        <v>37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5" t="str">
        <f ca="1">OFFSET(ORÇAMENTO!N$15,ROW(D67)-ROW(D$15),0)</f>
        <v>Serviço</v>
      </c>
      <c r="E67" s="205" t="str">
        <f ca="1">OFFSET(ORÇAMENTO!O$15,ROW(E67)-ROW(E$15),0)</f>
        <v>-</v>
      </c>
      <c r="F67" s="206" t="str">
        <f ca="1">OFFSET(ORÇAMENTO!R$15,ROW(F67)-ROW(F$15),0)</f>
        <v>(abra o arquivo 'Referência 05-2023.xls)</v>
      </c>
      <c r="G67" s="207" t="str">
        <f ca="1">IF($D67&lt;&gt;"Serviço","",OFFSET(ORÇAMENTO!S$15,ROW(G67)-ROW(G$15),0))</f>
        <v>-</v>
      </c>
      <c r="H67" s="151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1"/>
      <c r="K67" s="208"/>
      <c r="L67" s="209" t="s">
        <v>254</v>
      </c>
      <c r="M67" s="210">
        <f ca="1">IF($D67&lt;&gt;"Serviço","",IF(AUTOEVENTO="manual",$A67,IF(ISERROR(MATCH($A67,$A$15:OFFSET($A67,-1,0),0)),MAX($M$15:OFFSET(M67,-1,0))+1,INDEX($M$15:OFFSET(M67,-1,0),MATCH($A67,$A$15:OFFSET($A67,-1,0),0)))))</f>
        <v>5</v>
      </c>
      <c r="N67" s="211" t="str">
        <f ca="1">IF($D67&lt;&gt;"Serviço","",IF(AUTOEVENTO="Manual",IF($A67=0,"&lt;-- defina o número do agrupador",OFFSET(EVENTOS!$D$14,$A67,0)),OFFSET($F$15,$A67,0)))</f>
        <v>PINTURAS E TEXTURAS</v>
      </c>
      <c r="O67" s="212"/>
      <c r="Q67" s="212"/>
      <c r="R67" s="213"/>
      <c r="S67" s="213"/>
      <c r="T67" s="213"/>
      <c r="U67" s="213"/>
      <c r="V67" s="213"/>
      <c r="W67" s="213"/>
      <c r="X67" s="213"/>
      <c r="Y67" s="213"/>
      <c r="Z67" s="214"/>
      <c r="AB67" s="592">
        <f ca="1">IF(AND($D67="Serviço",AB$12&lt;&gt;0,$H67&gt;0,OR(AUTOEVENTO&lt;&gt;"manual",$M67&lt;&gt;1)),ROUND(OFFSET($P67,0,AB$13),15-13*ORÇAMENTO!$AF$7)/$H67*OFFSET(ORÇAMENTO!$X$15,ROW(AB67)-ROW(AB$15),0),0)</f>
        <v>0</v>
      </c>
      <c r="AC67" s="593">
        <f ca="1">IF(AND($D67="Serviço",AC$12&lt;&gt;0,$H67&gt;0,OR(AUTOEVENTO&lt;&gt;"manual",$M67&lt;&gt;1)),ROUND(OFFSET($P67,0,AC$13),15-13*ORÇAMENTO!$AF$7)/$H67*OFFSET(ORÇAMENTO!$X$15,ROW(AC67)-ROW(AC$15),0),0)</f>
        <v>0</v>
      </c>
      <c r="AD67" s="593">
        <f ca="1">IF(AND($D67="Serviço",AD$12&lt;&gt;0,$H67&gt;0,OR(AUTOEVENTO&lt;&gt;"manual",$M67&lt;&gt;1)),ROUND(OFFSET($P67,0,AD$13),15-13*ORÇAMENTO!$AF$7)/$H67*OFFSET(ORÇAMENTO!$X$15,ROW(AD67)-ROW(AD$15),0),0)</f>
        <v>0</v>
      </c>
      <c r="AE67" s="593">
        <f ca="1">IF(AND($D67="Serviço",AE$12&lt;&gt;0,$H67&gt;0,OR(AUTOEVENTO&lt;&gt;"manual",$M67&lt;&gt;1)),ROUND(OFFSET($P67,0,AE$13),15-13*ORÇAMENTO!$AF$7)/$H67*OFFSET(ORÇAMENTO!$X$15,ROW(AE67)-ROW(AE$15),0),0)</f>
        <v>0</v>
      </c>
      <c r="AF67" s="593">
        <f ca="1">IF(AND($D67="Serviço",AF$12&lt;&gt;0,$H67&gt;0,OR(AUTOEVENTO&lt;&gt;"manual",$M67&lt;&gt;1)),ROUND(OFFSET($P67,0,AF$13),15-13*ORÇAMENTO!$AF$7)/$H67*OFFSET(ORÇAMENTO!$X$15,ROW(AF67)-ROW(AF$15),0),0)</f>
        <v>0</v>
      </c>
      <c r="AG67" s="593">
        <f ca="1">IF(AND($D67="Serviço",AG$12&lt;&gt;0,$H67&gt;0,OR(AUTOEVENTO&lt;&gt;"manual",$M67&lt;&gt;1)),ROUND(OFFSET($P67,0,AG$13),15-13*ORÇAMENTO!$AF$7)/$H67*OFFSET(ORÇAMENTO!$X$15,ROW(AG67)-ROW(AG$15),0),0)</f>
        <v>0</v>
      </c>
      <c r="AH67" s="593">
        <f ca="1">IF(AND($D67="Serviço",AH$12&lt;&gt;0,$H67&gt;0,OR(AUTOEVENTO&lt;&gt;"manual",$M67&lt;&gt;1)),ROUND(OFFSET($P67,0,AH$13),15-13*ORÇAMENTO!$AF$7)/$H67*OFFSET(ORÇAMENTO!$X$15,ROW(AH67)-ROW(AH$15),0),0)</f>
        <v>0</v>
      </c>
      <c r="AI67" s="593">
        <f ca="1">IF(AND($D67="Serviço",AI$12&lt;&gt;0,$H67&gt;0,OR(AUTOEVENTO&lt;&gt;"manual",$M67&lt;&gt;1)),ROUND(OFFSET($P67,0,AI$13),15-13*ORÇAMENTO!$AF$7)/$H67*OFFSET(ORÇAMENTO!$X$15,ROW(AI67)-ROW(AI$15),0),0)</f>
        <v>0</v>
      </c>
      <c r="AJ67" s="593">
        <f ca="1">IF(AND($D67="Serviço",AJ$12&lt;&gt;0,$H67&gt;0,OR(AUTOEVENTO&lt;&gt;"manual",$M67&lt;&gt;1)),ROUND(OFFSET($P67,0,AJ$13),15-13*ORÇAMENTO!$AF$7)/$H67*OFFSET(ORÇAMENTO!$X$15,ROW(AJ67)-ROW(AJ$15),0),0)</f>
        <v>0</v>
      </c>
      <c r="AK67" s="594">
        <f ca="1">IF(AND($D67="Serviço",AK$12&lt;&gt;0,$H67&gt;0,OR(AUTOEVENTO&lt;&gt;"manual",$M67&lt;&gt;1)),ROUND(OFFSET($P67,0,AK$13),15-13*ORÇAMENTO!$AF$7)/$H67*OFFSET(ORÇAMENTO!$X$15,ROW(AK67)-ROW(AK$15),0),0)</f>
        <v>0</v>
      </c>
      <c r="AM67" s="215">
        <f ca="1">IF($D67&lt;&gt;"Serviço",0,IF(AND(AUTOEVENTO="Manual",$M67=1),0,IF(OFFSET(CRONOPLE!$F$14,$M67,AM$13)="",10^12,OFFSET(CRONOPLE!$F$14,$M67,AM$13))))</f>
        <v>2</v>
      </c>
      <c r="AN67" s="215">
        <f ca="1">IF($D67&lt;&gt;"Serviço",0,IF(AND(AUTOEVENTO="Manual",$M67=1),0,IF(OFFSET(CRONOPLE!$F$14,$M67,AN$13)="",10^12,OFFSET(CRONOPLE!$F$14,$M67,AN$13))))</f>
        <v>2</v>
      </c>
      <c r="AO67" s="215">
        <f ca="1">IF($D67&lt;&gt;"Serviço",0,IF(AND(AUTOEVENTO="Manual",$M67=1),0,IF(OFFSET(CRONOPLE!$F$14,$M67,AO$13)="",10^12,OFFSET(CRONOPLE!$F$14,$M67,AO$13))))</f>
        <v>3</v>
      </c>
      <c r="AP67" s="215">
        <f ca="1">IF($D67&lt;&gt;"Serviço",0,IF(AND(AUTOEVENTO="Manual",$M67=1),0,IF(OFFSET(CRONOPLE!$F$14,$M67,AP$13)="",10^12,OFFSET(CRONOPLE!$F$14,$M67,AP$13))))</f>
        <v>1000000000000</v>
      </c>
      <c r="AQ67" s="215">
        <f ca="1">IF($D67&lt;&gt;"Serviço",0,IF(AND(AUTOEVENTO="Manual",$M67=1),0,IF(OFFSET(CRONOPLE!$F$14,$M67,AQ$13)="",10^12,OFFSET(CRONOPLE!$F$14,$M67,AQ$13))))</f>
        <v>1000000000000</v>
      </c>
      <c r="AR67" s="215">
        <f ca="1">IF($D67&lt;&gt;"Serviço",0,IF(AND(AUTOEVENTO="Manual",$M67=1),0,IF(OFFSET(CRONOPLE!$F$14,$M67,AR$13)="",10^12,OFFSET(CRONOPLE!$F$14,$M67,AR$13))))</f>
        <v>1000000000000</v>
      </c>
      <c r="AS67" s="215">
        <f ca="1">IF($D67&lt;&gt;"Serviço",0,IF(AND(AUTOEVENTO="Manual",$M67=1),0,IF(OFFSET(CRONOPLE!$F$14,$M67,AS$13)="",10^12,OFFSET(CRONOPLE!$F$14,$M67,AS$13))))</f>
        <v>1000000000000</v>
      </c>
      <c r="AT67" s="215">
        <f ca="1">IF($D67&lt;&gt;"Serviço",0,IF(AND(AUTOEVENTO="Manual",$M67=1),0,IF(OFFSET(CRONOPLE!$F$14,$M67,AT$13)="",10^12,OFFSET(CRONOPLE!$F$14,$M67,AT$13))))</f>
        <v>1000000000000</v>
      </c>
      <c r="AU67" s="215">
        <f ca="1">IF($D67&lt;&gt;"Serviço",0,IF(AND(AUTOEVENTO="Manual",$M67=1),0,IF(OFFSET(CRONOPLE!$F$14,$M67,AU$13)="",10^12,OFFSET(CRONOPLE!$F$14,$M67,AU$13))))</f>
        <v>1000000000000</v>
      </c>
      <c r="AV67" s="215">
        <f ca="1">IF($D67&lt;&gt;"Serviço",0,IF(AND(AUTOEVENTO="Manual",$M67=1),0,IF(OFFSET(CRONOPLE!$F$14,$M67,AV$13)="",10^12,OFFSET(CRONOPLE!$F$14,$M67,AV$13))))</f>
        <v>1000000000000</v>
      </c>
      <c r="AX67" s="216">
        <f ca="1">IF($D67&lt;&gt;"Serviço",0,IF(OR(AND(AUTOEVENTO="Manual",$M67=1),$M67&gt;(ROW(PLE.lastrow)-ROW(PLE.firstrow))),0,IF(OFFSET(PLE!$G$14,$M67,AX$13)="",10^12,OFFSET(PLE!$G$14,$M67,AX$13))))</f>
        <v>1000000000000</v>
      </c>
      <c r="AY67" s="216">
        <f ca="1">IF($D67&lt;&gt;"Serviço",0,IF(OR(AND(AUTOEVENTO="Manual",$M67=1),$M67&gt;(ROW(PLE.lastrow)-ROW(PLE.firstrow))),0,IF(OFFSET(PLE!$G$14,$M67,AY$13)="",10^12,OFFSET(PLE!$G$14,$M67,AY$13))))</f>
        <v>1000000000000</v>
      </c>
      <c r="AZ67" s="216">
        <f ca="1">IF($D67&lt;&gt;"Serviço",0,IF(OR(AND(AUTOEVENTO="Manual",$M67=1),$M67&gt;(ROW(PLE.lastrow)-ROW(PLE.firstrow))),0,IF(OFFSET(PLE!$G$14,$M67,AZ$13)="",10^12,OFFSET(PLE!$G$14,$M67,AZ$13))))</f>
        <v>1000000000000</v>
      </c>
      <c r="BA67" s="216">
        <f ca="1">IF($D67&lt;&gt;"Serviço",0,IF(OR(AND(AUTOEVENTO="Manual",$M67=1),$M67&gt;(ROW(PLE.lastrow)-ROW(PLE.firstrow))),0,IF(OFFSET(PLE!$G$14,$M67,BA$13)="",10^12,OFFSET(PLE!$G$14,$M67,BA$13))))</f>
        <v>1000000000000</v>
      </c>
      <c r="BB67" s="216">
        <f ca="1">IF($D67&lt;&gt;"Serviço",0,IF(OR(AND(AUTOEVENTO="Manual",$M67=1),$M67&gt;(ROW(PLE.lastrow)-ROW(PLE.firstrow))),0,IF(OFFSET(PLE!$G$14,$M67,BB$13)="",10^12,OFFSET(PLE!$G$14,$M67,BB$13))))</f>
        <v>1000000000000</v>
      </c>
      <c r="BC67" s="216">
        <f ca="1">IF($D67&lt;&gt;"Serviço",0,IF(OR(AND(AUTOEVENTO="Manual",$M67=1),$M67&gt;(ROW(PLE.lastrow)-ROW(PLE.firstrow))),0,IF(OFFSET(PLE!$G$14,$M67,BC$13)="",10^12,OFFSET(PLE!$G$14,$M67,BC$13))))</f>
        <v>1000000000000</v>
      </c>
      <c r="BD67" s="216">
        <f ca="1">IF($D67&lt;&gt;"Serviço",0,IF(OR(AND(AUTOEVENTO="Manual",$M67=1),$M67&gt;(ROW(PLE.lastrow)-ROW(PLE.firstrow))),0,IF(OFFSET(PLE!$G$14,$M67,BD$13)="",10^12,OFFSET(PLE!$G$14,$M67,BD$13))))</f>
        <v>1000000000000</v>
      </c>
      <c r="BE67" s="216">
        <f ca="1">IF($D67&lt;&gt;"Serviço",0,IF(OR(AND(AUTOEVENTO="Manual",$M67=1),$M67&gt;(ROW(PLE.lastrow)-ROW(PLE.firstrow))),0,IF(OFFSET(PLE!$G$14,$M67,BE$13)="",10^12,OFFSET(PLE!$G$14,$M67,BE$13))))</f>
        <v>1000000000000</v>
      </c>
      <c r="BF67" s="216">
        <f ca="1">IF($D67&lt;&gt;"Serviço",0,IF(OR(AND(AUTOEVENTO="Manual",$M67=1),$M67&gt;(ROW(PLE.lastrow)-ROW(PLE.firstrow))),0,IF(OFFSET(PLE!$G$14,$M67,BF$13)="",10^12,OFFSET(PLE!$G$14,$M67,BF$13))))</f>
        <v>1000000000000</v>
      </c>
      <c r="BG67" s="216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x14ac:dyDescent="0.2">
      <c r="A68" s="9" t="str">
        <f t="shared" ca="1" si="8"/>
        <v>37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5" t="str">
        <f ca="1">OFFSET(ORÇAMENTO!N$15,ROW(D68)-ROW(D$15),0)</f>
        <v>Serviço</v>
      </c>
      <c r="E68" s="205" t="str">
        <f ca="1">OFFSET(ORÇAMENTO!O$15,ROW(E68)-ROW(E$15),0)</f>
        <v>-</v>
      </c>
      <c r="F68" s="206" t="str">
        <f ca="1">OFFSET(ORÇAMENTO!R$15,ROW(F68)-ROW(F$15),0)</f>
        <v>(abra o arquivo 'Referência 05-2023.xls)</v>
      </c>
      <c r="G68" s="207" t="str">
        <f ca="1">IF($D68&lt;&gt;"Serviço","",OFFSET(ORÇAMENTO!S$15,ROW(G68)-ROW(G$15),0))</f>
        <v>-</v>
      </c>
      <c r="H68" s="151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1"/>
      <c r="K68" s="208"/>
      <c r="L68" s="209" t="s">
        <v>254</v>
      </c>
      <c r="M68" s="210">
        <f ca="1">IF($D68&lt;&gt;"Serviço","",IF(AUTOEVENTO="manual",$A68,IF(ISERROR(MATCH($A68,$A$15:OFFSET($A68,-1,0),0)),MAX($M$15:OFFSET(M68,-1,0))+1,INDEX($M$15:OFFSET(M68,-1,0),MATCH($A68,$A$15:OFFSET($A68,-1,0),0)))))</f>
        <v>5</v>
      </c>
      <c r="N68" s="211" t="str">
        <f ca="1">IF($D68&lt;&gt;"Serviço","",IF(AUTOEVENTO="Manual",IF($A68=0,"&lt;-- defina o número do agrupador",OFFSET(EVENTOS!$D$14,$A68,0)),OFFSET($F$15,$A68,0)))</f>
        <v>PINTURAS E TEXTURAS</v>
      </c>
      <c r="O68" s="212"/>
      <c r="Q68" s="212"/>
      <c r="R68" s="213"/>
      <c r="S68" s="213"/>
      <c r="T68" s="213"/>
      <c r="U68" s="213"/>
      <c r="V68" s="213"/>
      <c r="W68" s="213"/>
      <c r="X68" s="213"/>
      <c r="Y68" s="213"/>
      <c r="Z68" s="214"/>
      <c r="AB68" s="592">
        <f ca="1">IF(AND($D68="Serviço",AB$12&lt;&gt;0,$H68&gt;0,OR(AUTOEVENTO&lt;&gt;"manual",$M68&lt;&gt;1)),ROUND(OFFSET($P68,0,AB$13),15-13*ORÇAMENTO!$AF$7)/$H68*OFFSET(ORÇAMENTO!$X$15,ROW(AB68)-ROW(AB$15),0),0)</f>
        <v>0</v>
      </c>
      <c r="AC68" s="593">
        <f ca="1">IF(AND($D68="Serviço",AC$12&lt;&gt;0,$H68&gt;0,OR(AUTOEVENTO&lt;&gt;"manual",$M68&lt;&gt;1)),ROUND(OFFSET($P68,0,AC$13),15-13*ORÇAMENTO!$AF$7)/$H68*OFFSET(ORÇAMENTO!$X$15,ROW(AC68)-ROW(AC$15),0),0)</f>
        <v>0</v>
      </c>
      <c r="AD68" s="593">
        <f ca="1">IF(AND($D68="Serviço",AD$12&lt;&gt;0,$H68&gt;0,OR(AUTOEVENTO&lt;&gt;"manual",$M68&lt;&gt;1)),ROUND(OFFSET($P68,0,AD$13),15-13*ORÇAMENTO!$AF$7)/$H68*OFFSET(ORÇAMENTO!$X$15,ROW(AD68)-ROW(AD$15),0),0)</f>
        <v>0</v>
      </c>
      <c r="AE68" s="593">
        <f ca="1">IF(AND($D68="Serviço",AE$12&lt;&gt;0,$H68&gt;0,OR(AUTOEVENTO&lt;&gt;"manual",$M68&lt;&gt;1)),ROUND(OFFSET($P68,0,AE$13),15-13*ORÇAMENTO!$AF$7)/$H68*OFFSET(ORÇAMENTO!$X$15,ROW(AE68)-ROW(AE$15),0),0)</f>
        <v>0</v>
      </c>
      <c r="AF68" s="593">
        <f ca="1">IF(AND($D68="Serviço",AF$12&lt;&gt;0,$H68&gt;0,OR(AUTOEVENTO&lt;&gt;"manual",$M68&lt;&gt;1)),ROUND(OFFSET($P68,0,AF$13),15-13*ORÇAMENTO!$AF$7)/$H68*OFFSET(ORÇAMENTO!$X$15,ROW(AF68)-ROW(AF$15),0),0)</f>
        <v>0</v>
      </c>
      <c r="AG68" s="593">
        <f ca="1">IF(AND($D68="Serviço",AG$12&lt;&gt;0,$H68&gt;0,OR(AUTOEVENTO&lt;&gt;"manual",$M68&lt;&gt;1)),ROUND(OFFSET($P68,0,AG$13),15-13*ORÇAMENTO!$AF$7)/$H68*OFFSET(ORÇAMENTO!$X$15,ROW(AG68)-ROW(AG$15),0),0)</f>
        <v>0</v>
      </c>
      <c r="AH68" s="593">
        <f ca="1">IF(AND($D68="Serviço",AH$12&lt;&gt;0,$H68&gt;0,OR(AUTOEVENTO&lt;&gt;"manual",$M68&lt;&gt;1)),ROUND(OFFSET($P68,0,AH$13),15-13*ORÇAMENTO!$AF$7)/$H68*OFFSET(ORÇAMENTO!$X$15,ROW(AH68)-ROW(AH$15),0),0)</f>
        <v>0</v>
      </c>
      <c r="AI68" s="593">
        <f ca="1">IF(AND($D68="Serviço",AI$12&lt;&gt;0,$H68&gt;0,OR(AUTOEVENTO&lt;&gt;"manual",$M68&lt;&gt;1)),ROUND(OFFSET($P68,0,AI$13),15-13*ORÇAMENTO!$AF$7)/$H68*OFFSET(ORÇAMENTO!$X$15,ROW(AI68)-ROW(AI$15),0),0)</f>
        <v>0</v>
      </c>
      <c r="AJ68" s="593">
        <f ca="1">IF(AND($D68="Serviço",AJ$12&lt;&gt;0,$H68&gt;0,OR(AUTOEVENTO&lt;&gt;"manual",$M68&lt;&gt;1)),ROUND(OFFSET($P68,0,AJ$13),15-13*ORÇAMENTO!$AF$7)/$H68*OFFSET(ORÇAMENTO!$X$15,ROW(AJ68)-ROW(AJ$15),0),0)</f>
        <v>0</v>
      </c>
      <c r="AK68" s="594">
        <f ca="1">IF(AND($D68="Serviço",AK$12&lt;&gt;0,$H68&gt;0,OR(AUTOEVENTO&lt;&gt;"manual",$M68&lt;&gt;1)),ROUND(OFFSET($P68,0,AK$13),15-13*ORÇAMENTO!$AF$7)/$H68*OFFSET(ORÇAMENTO!$X$15,ROW(AK68)-ROW(AK$15),0),0)</f>
        <v>0</v>
      </c>
      <c r="AM68" s="215">
        <f ca="1">IF($D68&lt;&gt;"Serviço",0,IF(AND(AUTOEVENTO="Manual",$M68=1),0,IF(OFFSET(CRONOPLE!$F$14,$M68,AM$13)="",10^12,OFFSET(CRONOPLE!$F$14,$M68,AM$13))))</f>
        <v>2</v>
      </c>
      <c r="AN68" s="215">
        <f ca="1">IF($D68&lt;&gt;"Serviço",0,IF(AND(AUTOEVENTO="Manual",$M68=1),0,IF(OFFSET(CRONOPLE!$F$14,$M68,AN$13)="",10^12,OFFSET(CRONOPLE!$F$14,$M68,AN$13))))</f>
        <v>2</v>
      </c>
      <c r="AO68" s="215">
        <f ca="1">IF($D68&lt;&gt;"Serviço",0,IF(AND(AUTOEVENTO="Manual",$M68=1),0,IF(OFFSET(CRONOPLE!$F$14,$M68,AO$13)="",10^12,OFFSET(CRONOPLE!$F$14,$M68,AO$13))))</f>
        <v>3</v>
      </c>
      <c r="AP68" s="215">
        <f ca="1">IF($D68&lt;&gt;"Serviço",0,IF(AND(AUTOEVENTO="Manual",$M68=1),0,IF(OFFSET(CRONOPLE!$F$14,$M68,AP$13)="",10^12,OFFSET(CRONOPLE!$F$14,$M68,AP$13))))</f>
        <v>1000000000000</v>
      </c>
      <c r="AQ68" s="215">
        <f ca="1">IF($D68&lt;&gt;"Serviço",0,IF(AND(AUTOEVENTO="Manual",$M68=1),0,IF(OFFSET(CRONOPLE!$F$14,$M68,AQ$13)="",10^12,OFFSET(CRONOPLE!$F$14,$M68,AQ$13))))</f>
        <v>1000000000000</v>
      </c>
      <c r="AR68" s="215">
        <f ca="1">IF($D68&lt;&gt;"Serviço",0,IF(AND(AUTOEVENTO="Manual",$M68=1),0,IF(OFFSET(CRONOPLE!$F$14,$M68,AR$13)="",10^12,OFFSET(CRONOPLE!$F$14,$M68,AR$13))))</f>
        <v>1000000000000</v>
      </c>
      <c r="AS68" s="215">
        <f ca="1">IF($D68&lt;&gt;"Serviço",0,IF(AND(AUTOEVENTO="Manual",$M68=1),0,IF(OFFSET(CRONOPLE!$F$14,$M68,AS$13)="",10^12,OFFSET(CRONOPLE!$F$14,$M68,AS$13))))</f>
        <v>1000000000000</v>
      </c>
      <c r="AT68" s="215">
        <f ca="1">IF($D68&lt;&gt;"Serviço",0,IF(AND(AUTOEVENTO="Manual",$M68=1),0,IF(OFFSET(CRONOPLE!$F$14,$M68,AT$13)="",10^12,OFFSET(CRONOPLE!$F$14,$M68,AT$13))))</f>
        <v>1000000000000</v>
      </c>
      <c r="AU68" s="215">
        <f ca="1">IF($D68&lt;&gt;"Serviço",0,IF(AND(AUTOEVENTO="Manual",$M68=1),0,IF(OFFSET(CRONOPLE!$F$14,$M68,AU$13)="",10^12,OFFSET(CRONOPLE!$F$14,$M68,AU$13))))</f>
        <v>1000000000000</v>
      </c>
      <c r="AV68" s="215">
        <f ca="1">IF($D68&lt;&gt;"Serviço",0,IF(AND(AUTOEVENTO="Manual",$M68=1),0,IF(OFFSET(CRONOPLE!$F$14,$M68,AV$13)="",10^12,OFFSET(CRONOPLE!$F$14,$M68,AV$13))))</f>
        <v>1000000000000</v>
      </c>
      <c r="AX68" s="216">
        <f ca="1">IF($D68&lt;&gt;"Serviço",0,IF(OR(AND(AUTOEVENTO="Manual",$M68=1),$M68&gt;(ROW(PLE.lastrow)-ROW(PLE.firstrow))),0,IF(OFFSET(PLE!$G$14,$M68,AX$13)="",10^12,OFFSET(PLE!$G$14,$M68,AX$13))))</f>
        <v>1000000000000</v>
      </c>
      <c r="AY68" s="216">
        <f ca="1">IF($D68&lt;&gt;"Serviço",0,IF(OR(AND(AUTOEVENTO="Manual",$M68=1),$M68&gt;(ROW(PLE.lastrow)-ROW(PLE.firstrow))),0,IF(OFFSET(PLE!$G$14,$M68,AY$13)="",10^12,OFFSET(PLE!$G$14,$M68,AY$13))))</f>
        <v>1000000000000</v>
      </c>
      <c r="AZ68" s="216">
        <f ca="1">IF($D68&lt;&gt;"Serviço",0,IF(OR(AND(AUTOEVENTO="Manual",$M68=1),$M68&gt;(ROW(PLE.lastrow)-ROW(PLE.firstrow))),0,IF(OFFSET(PLE!$G$14,$M68,AZ$13)="",10^12,OFFSET(PLE!$G$14,$M68,AZ$13))))</f>
        <v>1000000000000</v>
      </c>
      <c r="BA68" s="216">
        <f ca="1">IF($D68&lt;&gt;"Serviço",0,IF(OR(AND(AUTOEVENTO="Manual",$M68=1),$M68&gt;(ROW(PLE.lastrow)-ROW(PLE.firstrow))),0,IF(OFFSET(PLE!$G$14,$M68,BA$13)="",10^12,OFFSET(PLE!$G$14,$M68,BA$13))))</f>
        <v>1000000000000</v>
      </c>
      <c r="BB68" s="216">
        <f ca="1">IF($D68&lt;&gt;"Serviço",0,IF(OR(AND(AUTOEVENTO="Manual",$M68=1),$M68&gt;(ROW(PLE.lastrow)-ROW(PLE.firstrow))),0,IF(OFFSET(PLE!$G$14,$M68,BB$13)="",10^12,OFFSET(PLE!$G$14,$M68,BB$13))))</f>
        <v>1000000000000</v>
      </c>
      <c r="BC68" s="216">
        <f ca="1">IF($D68&lt;&gt;"Serviço",0,IF(OR(AND(AUTOEVENTO="Manual",$M68=1),$M68&gt;(ROW(PLE.lastrow)-ROW(PLE.firstrow))),0,IF(OFFSET(PLE!$G$14,$M68,BC$13)="",10^12,OFFSET(PLE!$G$14,$M68,BC$13))))</f>
        <v>1000000000000</v>
      </c>
      <c r="BD68" s="216">
        <f ca="1">IF($D68&lt;&gt;"Serviço",0,IF(OR(AND(AUTOEVENTO="Manual",$M68=1),$M68&gt;(ROW(PLE.lastrow)-ROW(PLE.firstrow))),0,IF(OFFSET(PLE!$G$14,$M68,BD$13)="",10^12,OFFSET(PLE!$G$14,$M68,BD$13))))</f>
        <v>1000000000000</v>
      </c>
      <c r="BE68" s="216">
        <f ca="1">IF($D68&lt;&gt;"Serviço",0,IF(OR(AND(AUTOEVENTO="Manual",$M68=1),$M68&gt;(ROW(PLE.lastrow)-ROW(PLE.firstrow))),0,IF(OFFSET(PLE!$G$14,$M68,BE$13)="",10^12,OFFSET(PLE!$G$14,$M68,BE$13))))</f>
        <v>1000000000000</v>
      </c>
      <c r="BF68" s="216">
        <f ca="1">IF($D68&lt;&gt;"Serviço",0,IF(OR(AND(AUTOEVENTO="Manual",$M68=1),$M68&gt;(ROW(PLE.lastrow)-ROW(PLE.firstrow))),0,IF(OFFSET(PLE!$G$14,$M68,BF$13)="",10^12,OFFSET(PLE!$G$14,$M68,BF$13))))</f>
        <v>1000000000000</v>
      </c>
      <c r="BG68" s="216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9" t="str">
        <f t="shared" ca="1" si="8"/>
        <v>37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5" t="str">
        <f ca="1">OFFSET(ORÇAMENTO!N$15,ROW(D69)-ROW(D$15),0)</f>
        <v>Serviço</v>
      </c>
      <c r="E69" s="205" t="str">
        <f ca="1">OFFSET(ORÇAMENTO!O$15,ROW(E69)-ROW(E$15),0)</f>
        <v>-</v>
      </c>
      <c r="F69" s="206" t="str">
        <f ca="1">OFFSET(ORÇAMENTO!R$15,ROW(F69)-ROW(F$15),0)</f>
        <v>(abra o arquivo 'Referência 05-2023.xls)</v>
      </c>
      <c r="G69" s="207" t="str">
        <f ca="1">IF($D69&lt;&gt;"Serviço","",OFFSET(ORÇAMENTO!S$15,ROW(G69)-ROW(G$15),0))</f>
        <v>-</v>
      </c>
      <c r="H69" s="151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1"/>
      <c r="K69" s="208"/>
      <c r="L69" s="209" t="s">
        <v>254</v>
      </c>
      <c r="M69" s="210">
        <f ca="1">IF($D69&lt;&gt;"Serviço","",IF(AUTOEVENTO="manual",$A69,IF(ISERROR(MATCH($A69,$A$15:OFFSET($A69,-1,0),0)),MAX($M$15:OFFSET(M69,-1,0))+1,INDEX($M$15:OFFSET(M69,-1,0),MATCH($A69,$A$15:OFFSET($A69,-1,0),0)))))</f>
        <v>5</v>
      </c>
      <c r="N69" s="211" t="str">
        <f ca="1">IF($D69&lt;&gt;"Serviço","",IF(AUTOEVENTO="Manual",IF($A69=0,"&lt;-- defina o número do agrupador",OFFSET(EVENTOS!$D$14,$A69,0)),OFFSET($F$15,$A69,0)))</f>
        <v>PINTURAS E TEXTURAS</v>
      </c>
      <c r="O69" s="212"/>
      <c r="Q69" s="212"/>
      <c r="R69" s="213"/>
      <c r="S69" s="213"/>
      <c r="T69" s="213"/>
      <c r="U69" s="213"/>
      <c r="V69" s="213"/>
      <c r="W69" s="213"/>
      <c r="X69" s="213"/>
      <c r="Y69" s="213"/>
      <c r="Z69" s="214"/>
      <c r="AB69" s="592">
        <f ca="1">IF(AND($D69="Serviço",AB$12&lt;&gt;0,$H69&gt;0,OR(AUTOEVENTO&lt;&gt;"manual",$M69&lt;&gt;1)),ROUND(OFFSET($P69,0,AB$13),15-13*ORÇAMENTO!$AF$7)/$H69*OFFSET(ORÇAMENTO!$X$15,ROW(AB69)-ROW(AB$15),0),0)</f>
        <v>0</v>
      </c>
      <c r="AC69" s="593">
        <f ca="1">IF(AND($D69="Serviço",AC$12&lt;&gt;0,$H69&gt;0,OR(AUTOEVENTO&lt;&gt;"manual",$M69&lt;&gt;1)),ROUND(OFFSET($P69,0,AC$13),15-13*ORÇAMENTO!$AF$7)/$H69*OFFSET(ORÇAMENTO!$X$15,ROW(AC69)-ROW(AC$15),0),0)</f>
        <v>0</v>
      </c>
      <c r="AD69" s="593">
        <f ca="1">IF(AND($D69="Serviço",AD$12&lt;&gt;0,$H69&gt;0,OR(AUTOEVENTO&lt;&gt;"manual",$M69&lt;&gt;1)),ROUND(OFFSET($P69,0,AD$13),15-13*ORÇAMENTO!$AF$7)/$H69*OFFSET(ORÇAMENTO!$X$15,ROW(AD69)-ROW(AD$15),0),0)</f>
        <v>0</v>
      </c>
      <c r="AE69" s="593">
        <f ca="1">IF(AND($D69="Serviço",AE$12&lt;&gt;0,$H69&gt;0,OR(AUTOEVENTO&lt;&gt;"manual",$M69&lt;&gt;1)),ROUND(OFFSET($P69,0,AE$13),15-13*ORÇAMENTO!$AF$7)/$H69*OFFSET(ORÇAMENTO!$X$15,ROW(AE69)-ROW(AE$15),0),0)</f>
        <v>0</v>
      </c>
      <c r="AF69" s="593">
        <f ca="1">IF(AND($D69="Serviço",AF$12&lt;&gt;0,$H69&gt;0,OR(AUTOEVENTO&lt;&gt;"manual",$M69&lt;&gt;1)),ROUND(OFFSET($P69,0,AF$13),15-13*ORÇAMENTO!$AF$7)/$H69*OFFSET(ORÇAMENTO!$X$15,ROW(AF69)-ROW(AF$15),0),0)</f>
        <v>0</v>
      </c>
      <c r="AG69" s="593">
        <f ca="1">IF(AND($D69="Serviço",AG$12&lt;&gt;0,$H69&gt;0,OR(AUTOEVENTO&lt;&gt;"manual",$M69&lt;&gt;1)),ROUND(OFFSET($P69,0,AG$13),15-13*ORÇAMENTO!$AF$7)/$H69*OFFSET(ORÇAMENTO!$X$15,ROW(AG69)-ROW(AG$15),0),0)</f>
        <v>0</v>
      </c>
      <c r="AH69" s="593">
        <f ca="1">IF(AND($D69="Serviço",AH$12&lt;&gt;0,$H69&gt;0,OR(AUTOEVENTO&lt;&gt;"manual",$M69&lt;&gt;1)),ROUND(OFFSET($P69,0,AH$13),15-13*ORÇAMENTO!$AF$7)/$H69*OFFSET(ORÇAMENTO!$X$15,ROW(AH69)-ROW(AH$15),0),0)</f>
        <v>0</v>
      </c>
      <c r="AI69" s="593">
        <f ca="1">IF(AND($D69="Serviço",AI$12&lt;&gt;0,$H69&gt;0,OR(AUTOEVENTO&lt;&gt;"manual",$M69&lt;&gt;1)),ROUND(OFFSET($P69,0,AI$13),15-13*ORÇAMENTO!$AF$7)/$H69*OFFSET(ORÇAMENTO!$X$15,ROW(AI69)-ROW(AI$15),0),0)</f>
        <v>0</v>
      </c>
      <c r="AJ69" s="593">
        <f ca="1">IF(AND($D69="Serviço",AJ$12&lt;&gt;0,$H69&gt;0,OR(AUTOEVENTO&lt;&gt;"manual",$M69&lt;&gt;1)),ROUND(OFFSET($P69,0,AJ$13),15-13*ORÇAMENTO!$AF$7)/$H69*OFFSET(ORÇAMENTO!$X$15,ROW(AJ69)-ROW(AJ$15),0),0)</f>
        <v>0</v>
      </c>
      <c r="AK69" s="594">
        <f ca="1">IF(AND($D69="Serviço",AK$12&lt;&gt;0,$H69&gt;0,OR(AUTOEVENTO&lt;&gt;"manual",$M69&lt;&gt;1)),ROUND(OFFSET($P69,0,AK$13),15-13*ORÇAMENTO!$AF$7)/$H69*OFFSET(ORÇAMENTO!$X$15,ROW(AK69)-ROW(AK$15),0),0)</f>
        <v>0</v>
      </c>
      <c r="AM69" s="215">
        <f ca="1">IF($D69&lt;&gt;"Serviço",0,IF(AND(AUTOEVENTO="Manual",$M69=1),0,IF(OFFSET(CRONOPLE!$F$14,$M69,AM$13)="",10^12,OFFSET(CRONOPLE!$F$14,$M69,AM$13))))</f>
        <v>2</v>
      </c>
      <c r="AN69" s="215">
        <f ca="1">IF($D69&lt;&gt;"Serviço",0,IF(AND(AUTOEVENTO="Manual",$M69=1),0,IF(OFFSET(CRONOPLE!$F$14,$M69,AN$13)="",10^12,OFFSET(CRONOPLE!$F$14,$M69,AN$13))))</f>
        <v>2</v>
      </c>
      <c r="AO69" s="215">
        <f ca="1">IF($D69&lt;&gt;"Serviço",0,IF(AND(AUTOEVENTO="Manual",$M69=1),0,IF(OFFSET(CRONOPLE!$F$14,$M69,AO$13)="",10^12,OFFSET(CRONOPLE!$F$14,$M69,AO$13))))</f>
        <v>3</v>
      </c>
      <c r="AP69" s="215">
        <f ca="1">IF($D69&lt;&gt;"Serviço",0,IF(AND(AUTOEVENTO="Manual",$M69=1),0,IF(OFFSET(CRONOPLE!$F$14,$M69,AP$13)="",10^12,OFFSET(CRONOPLE!$F$14,$M69,AP$13))))</f>
        <v>1000000000000</v>
      </c>
      <c r="AQ69" s="215">
        <f ca="1">IF($D69&lt;&gt;"Serviço",0,IF(AND(AUTOEVENTO="Manual",$M69=1),0,IF(OFFSET(CRONOPLE!$F$14,$M69,AQ$13)="",10^12,OFFSET(CRONOPLE!$F$14,$M69,AQ$13))))</f>
        <v>1000000000000</v>
      </c>
      <c r="AR69" s="215">
        <f ca="1">IF($D69&lt;&gt;"Serviço",0,IF(AND(AUTOEVENTO="Manual",$M69=1),0,IF(OFFSET(CRONOPLE!$F$14,$M69,AR$13)="",10^12,OFFSET(CRONOPLE!$F$14,$M69,AR$13))))</f>
        <v>1000000000000</v>
      </c>
      <c r="AS69" s="215">
        <f ca="1">IF($D69&lt;&gt;"Serviço",0,IF(AND(AUTOEVENTO="Manual",$M69=1),0,IF(OFFSET(CRONOPLE!$F$14,$M69,AS$13)="",10^12,OFFSET(CRONOPLE!$F$14,$M69,AS$13))))</f>
        <v>1000000000000</v>
      </c>
      <c r="AT69" s="215">
        <f ca="1">IF($D69&lt;&gt;"Serviço",0,IF(AND(AUTOEVENTO="Manual",$M69=1),0,IF(OFFSET(CRONOPLE!$F$14,$M69,AT$13)="",10^12,OFFSET(CRONOPLE!$F$14,$M69,AT$13))))</f>
        <v>1000000000000</v>
      </c>
      <c r="AU69" s="215">
        <f ca="1">IF($D69&lt;&gt;"Serviço",0,IF(AND(AUTOEVENTO="Manual",$M69=1),0,IF(OFFSET(CRONOPLE!$F$14,$M69,AU$13)="",10^12,OFFSET(CRONOPLE!$F$14,$M69,AU$13))))</f>
        <v>1000000000000</v>
      </c>
      <c r="AV69" s="215">
        <f ca="1">IF($D69&lt;&gt;"Serviço",0,IF(AND(AUTOEVENTO="Manual",$M69=1),0,IF(OFFSET(CRONOPLE!$F$14,$M69,AV$13)="",10^12,OFFSET(CRONOPLE!$F$14,$M69,AV$13))))</f>
        <v>1000000000000</v>
      </c>
      <c r="AX69" s="216">
        <f ca="1">IF($D69&lt;&gt;"Serviço",0,IF(OR(AND(AUTOEVENTO="Manual",$M69=1),$M69&gt;(ROW(PLE.lastrow)-ROW(PLE.firstrow))),0,IF(OFFSET(PLE!$G$14,$M69,AX$13)="",10^12,OFFSET(PLE!$G$14,$M69,AX$13))))</f>
        <v>1000000000000</v>
      </c>
      <c r="AY69" s="216">
        <f ca="1">IF($D69&lt;&gt;"Serviço",0,IF(OR(AND(AUTOEVENTO="Manual",$M69=1),$M69&gt;(ROW(PLE.lastrow)-ROW(PLE.firstrow))),0,IF(OFFSET(PLE!$G$14,$M69,AY$13)="",10^12,OFFSET(PLE!$G$14,$M69,AY$13))))</f>
        <v>1000000000000</v>
      </c>
      <c r="AZ69" s="216">
        <f ca="1">IF($D69&lt;&gt;"Serviço",0,IF(OR(AND(AUTOEVENTO="Manual",$M69=1),$M69&gt;(ROW(PLE.lastrow)-ROW(PLE.firstrow))),0,IF(OFFSET(PLE!$G$14,$M69,AZ$13)="",10^12,OFFSET(PLE!$G$14,$M69,AZ$13))))</f>
        <v>1000000000000</v>
      </c>
      <c r="BA69" s="216">
        <f ca="1">IF($D69&lt;&gt;"Serviço",0,IF(OR(AND(AUTOEVENTO="Manual",$M69=1),$M69&gt;(ROW(PLE.lastrow)-ROW(PLE.firstrow))),0,IF(OFFSET(PLE!$G$14,$M69,BA$13)="",10^12,OFFSET(PLE!$G$14,$M69,BA$13))))</f>
        <v>1000000000000</v>
      </c>
      <c r="BB69" s="216">
        <f ca="1">IF($D69&lt;&gt;"Serviço",0,IF(OR(AND(AUTOEVENTO="Manual",$M69=1),$M69&gt;(ROW(PLE.lastrow)-ROW(PLE.firstrow))),0,IF(OFFSET(PLE!$G$14,$M69,BB$13)="",10^12,OFFSET(PLE!$G$14,$M69,BB$13))))</f>
        <v>1000000000000</v>
      </c>
      <c r="BC69" s="216">
        <f ca="1">IF($D69&lt;&gt;"Serviço",0,IF(OR(AND(AUTOEVENTO="Manual",$M69=1),$M69&gt;(ROW(PLE.lastrow)-ROW(PLE.firstrow))),0,IF(OFFSET(PLE!$G$14,$M69,BC$13)="",10^12,OFFSET(PLE!$G$14,$M69,BC$13))))</f>
        <v>1000000000000</v>
      </c>
      <c r="BD69" s="216">
        <f ca="1">IF($D69&lt;&gt;"Serviço",0,IF(OR(AND(AUTOEVENTO="Manual",$M69=1),$M69&gt;(ROW(PLE.lastrow)-ROW(PLE.firstrow))),0,IF(OFFSET(PLE!$G$14,$M69,BD$13)="",10^12,OFFSET(PLE!$G$14,$M69,BD$13))))</f>
        <v>1000000000000</v>
      </c>
      <c r="BE69" s="216">
        <f ca="1">IF($D69&lt;&gt;"Serviço",0,IF(OR(AND(AUTOEVENTO="Manual",$M69=1),$M69&gt;(ROW(PLE.lastrow)-ROW(PLE.firstrow))),0,IF(OFFSET(PLE!$G$14,$M69,BE$13)="",10^12,OFFSET(PLE!$G$14,$M69,BE$13))))</f>
        <v>1000000000000</v>
      </c>
      <c r="BF69" s="216">
        <f ca="1">IF($D69&lt;&gt;"Serviço",0,IF(OR(AND(AUTOEVENTO="Manual",$M69=1),$M69&gt;(ROW(PLE.lastrow)-ROW(PLE.firstrow))),0,IF(OFFSET(PLE!$G$14,$M69,BF$13)="",10^12,OFFSET(PLE!$G$14,$M69,BF$13))))</f>
        <v>1000000000000</v>
      </c>
      <c r="BG69" s="216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37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5" t="str">
        <f ca="1">OFFSET(ORÇAMENTO!N$15,ROW(D70)-ROW(D$15),0)</f>
        <v>Serviço</v>
      </c>
      <c r="E70" s="205" t="str">
        <f ca="1">OFFSET(ORÇAMENTO!O$15,ROW(E70)-ROW(E$15),0)</f>
        <v>-</v>
      </c>
      <c r="F70" s="206" t="str">
        <f ca="1">OFFSET(ORÇAMENTO!R$15,ROW(F70)-ROW(F$15),0)</f>
        <v>(abra o arquivo 'Referência 05-2023.xls)</v>
      </c>
      <c r="G70" s="207" t="str">
        <f ca="1">IF($D70&lt;&gt;"Serviço","",OFFSET(ORÇAMENTO!S$15,ROW(G70)-ROW(G$15),0))</f>
        <v>-</v>
      </c>
      <c r="H70" s="151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1"/>
      <c r="K70" s="208"/>
      <c r="L70" s="209" t="s">
        <v>254</v>
      </c>
      <c r="M70" s="210">
        <f ca="1">IF($D70&lt;&gt;"Serviço","",IF(AUTOEVENTO="manual",$A70,IF(ISERROR(MATCH($A70,$A$15:OFFSET($A70,-1,0),0)),MAX($M$15:OFFSET(M70,-1,0))+1,INDEX($M$15:OFFSET(M70,-1,0),MATCH($A70,$A$15:OFFSET($A70,-1,0),0)))))</f>
        <v>5</v>
      </c>
      <c r="N70" s="211" t="str">
        <f ca="1">IF($D70&lt;&gt;"Serviço","",IF(AUTOEVENTO="Manual",IF($A70=0,"&lt;-- defina o número do agrupador",OFFSET(EVENTOS!$D$14,$A70,0)),OFFSET($F$15,$A70,0)))</f>
        <v>PINTURAS E TEXTURAS</v>
      </c>
      <c r="O70" s="212"/>
      <c r="Q70" s="212"/>
      <c r="R70" s="213"/>
      <c r="S70" s="213"/>
      <c r="T70" s="213"/>
      <c r="U70" s="213"/>
      <c r="V70" s="213"/>
      <c r="W70" s="213"/>
      <c r="X70" s="213"/>
      <c r="Y70" s="213"/>
      <c r="Z70" s="214"/>
      <c r="AB70" s="592">
        <f ca="1">IF(AND($D70="Serviço",AB$12&lt;&gt;0,$H70&gt;0,OR(AUTOEVENTO&lt;&gt;"manual",$M70&lt;&gt;1)),ROUND(OFFSET($P70,0,AB$13),15-13*ORÇAMENTO!$AF$7)/$H70*OFFSET(ORÇAMENTO!$X$15,ROW(AB70)-ROW(AB$15),0),0)</f>
        <v>0</v>
      </c>
      <c r="AC70" s="593">
        <f ca="1">IF(AND($D70="Serviço",AC$12&lt;&gt;0,$H70&gt;0,OR(AUTOEVENTO&lt;&gt;"manual",$M70&lt;&gt;1)),ROUND(OFFSET($P70,0,AC$13),15-13*ORÇAMENTO!$AF$7)/$H70*OFFSET(ORÇAMENTO!$X$15,ROW(AC70)-ROW(AC$15),0),0)</f>
        <v>0</v>
      </c>
      <c r="AD70" s="593">
        <f ca="1">IF(AND($D70="Serviço",AD$12&lt;&gt;0,$H70&gt;0,OR(AUTOEVENTO&lt;&gt;"manual",$M70&lt;&gt;1)),ROUND(OFFSET($P70,0,AD$13),15-13*ORÇAMENTO!$AF$7)/$H70*OFFSET(ORÇAMENTO!$X$15,ROW(AD70)-ROW(AD$15),0),0)</f>
        <v>0</v>
      </c>
      <c r="AE70" s="593">
        <f ca="1">IF(AND($D70="Serviço",AE$12&lt;&gt;0,$H70&gt;0,OR(AUTOEVENTO&lt;&gt;"manual",$M70&lt;&gt;1)),ROUND(OFFSET($P70,0,AE$13),15-13*ORÇAMENTO!$AF$7)/$H70*OFFSET(ORÇAMENTO!$X$15,ROW(AE70)-ROW(AE$15),0),0)</f>
        <v>0</v>
      </c>
      <c r="AF70" s="593">
        <f ca="1">IF(AND($D70="Serviço",AF$12&lt;&gt;0,$H70&gt;0,OR(AUTOEVENTO&lt;&gt;"manual",$M70&lt;&gt;1)),ROUND(OFFSET($P70,0,AF$13),15-13*ORÇAMENTO!$AF$7)/$H70*OFFSET(ORÇAMENTO!$X$15,ROW(AF70)-ROW(AF$15),0),0)</f>
        <v>0</v>
      </c>
      <c r="AG70" s="593">
        <f ca="1">IF(AND($D70="Serviço",AG$12&lt;&gt;0,$H70&gt;0,OR(AUTOEVENTO&lt;&gt;"manual",$M70&lt;&gt;1)),ROUND(OFFSET($P70,0,AG$13),15-13*ORÇAMENTO!$AF$7)/$H70*OFFSET(ORÇAMENTO!$X$15,ROW(AG70)-ROW(AG$15),0),0)</f>
        <v>0</v>
      </c>
      <c r="AH70" s="593">
        <f ca="1">IF(AND($D70="Serviço",AH$12&lt;&gt;0,$H70&gt;0,OR(AUTOEVENTO&lt;&gt;"manual",$M70&lt;&gt;1)),ROUND(OFFSET($P70,0,AH$13),15-13*ORÇAMENTO!$AF$7)/$H70*OFFSET(ORÇAMENTO!$X$15,ROW(AH70)-ROW(AH$15),0),0)</f>
        <v>0</v>
      </c>
      <c r="AI70" s="593">
        <f ca="1">IF(AND($D70="Serviço",AI$12&lt;&gt;0,$H70&gt;0,OR(AUTOEVENTO&lt;&gt;"manual",$M70&lt;&gt;1)),ROUND(OFFSET($P70,0,AI$13),15-13*ORÇAMENTO!$AF$7)/$H70*OFFSET(ORÇAMENTO!$X$15,ROW(AI70)-ROW(AI$15),0),0)</f>
        <v>0</v>
      </c>
      <c r="AJ70" s="593">
        <f ca="1">IF(AND($D70="Serviço",AJ$12&lt;&gt;0,$H70&gt;0,OR(AUTOEVENTO&lt;&gt;"manual",$M70&lt;&gt;1)),ROUND(OFFSET($P70,0,AJ$13),15-13*ORÇAMENTO!$AF$7)/$H70*OFFSET(ORÇAMENTO!$X$15,ROW(AJ70)-ROW(AJ$15),0),0)</f>
        <v>0</v>
      </c>
      <c r="AK70" s="594">
        <f ca="1">IF(AND($D70="Serviço",AK$12&lt;&gt;0,$H70&gt;0,OR(AUTOEVENTO&lt;&gt;"manual",$M70&lt;&gt;1)),ROUND(OFFSET($P70,0,AK$13),15-13*ORÇAMENTO!$AF$7)/$H70*OFFSET(ORÇAMENTO!$X$15,ROW(AK70)-ROW(AK$15),0),0)</f>
        <v>0</v>
      </c>
      <c r="AM70" s="215">
        <f ca="1">IF($D70&lt;&gt;"Serviço",0,IF(AND(AUTOEVENTO="Manual",$M70=1),0,IF(OFFSET(CRONOPLE!$F$14,$M70,AM$13)="",10^12,OFFSET(CRONOPLE!$F$14,$M70,AM$13))))</f>
        <v>2</v>
      </c>
      <c r="AN70" s="215">
        <f ca="1">IF($D70&lt;&gt;"Serviço",0,IF(AND(AUTOEVENTO="Manual",$M70=1),0,IF(OFFSET(CRONOPLE!$F$14,$M70,AN$13)="",10^12,OFFSET(CRONOPLE!$F$14,$M70,AN$13))))</f>
        <v>2</v>
      </c>
      <c r="AO70" s="215">
        <f ca="1">IF($D70&lt;&gt;"Serviço",0,IF(AND(AUTOEVENTO="Manual",$M70=1),0,IF(OFFSET(CRONOPLE!$F$14,$M70,AO$13)="",10^12,OFFSET(CRONOPLE!$F$14,$M70,AO$13))))</f>
        <v>3</v>
      </c>
      <c r="AP70" s="215">
        <f ca="1">IF($D70&lt;&gt;"Serviço",0,IF(AND(AUTOEVENTO="Manual",$M70=1),0,IF(OFFSET(CRONOPLE!$F$14,$M70,AP$13)="",10^12,OFFSET(CRONOPLE!$F$14,$M70,AP$13))))</f>
        <v>1000000000000</v>
      </c>
      <c r="AQ70" s="215">
        <f ca="1">IF($D70&lt;&gt;"Serviço",0,IF(AND(AUTOEVENTO="Manual",$M70=1),0,IF(OFFSET(CRONOPLE!$F$14,$M70,AQ$13)="",10^12,OFFSET(CRONOPLE!$F$14,$M70,AQ$13))))</f>
        <v>1000000000000</v>
      </c>
      <c r="AR70" s="215">
        <f ca="1">IF($D70&lt;&gt;"Serviço",0,IF(AND(AUTOEVENTO="Manual",$M70=1),0,IF(OFFSET(CRONOPLE!$F$14,$M70,AR$13)="",10^12,OFFSET(CRONOPLE!$F$14,$M70,AR$13))))</f>
        <v>1000000000000</v>
      </c>
      <c r="AS70" s="215">
        <f ca="1">IF($D70&lt;&gt;"Serviço",0,IF(AND(AUTOEVENTO="Manual",$M70=1),0,IF(OFFSET(CRONOPLE!$F$14,$M70,AS$13)="",10^12,OFFSET(CRONOPLE!$F$14,$M70,AS$13))))</f>
        <v>1000000000000</v>
      </c>
      <c r="AT70" s="215">
        <f ca="1">IF($D70&lt;&gt;"Serviço",0,IF(AND(AUTOEVENTO="Manual",$M70=1),0,IF(OFFSET(CRONOPLE!$F$14,$M70,AT$13)="",10^12,OFFSET(CRONOPLE!$F$14,$M70,AT$13))))</f>
        <v>1000000000000</v>
      </c>
      <c r="AU70" s="215">
        <f ca="1">IF($D70&lt;&gt;"Serviço",0,IF(AND(AUTOEVENTO="Manual",$M70=1),0,IF(OFFSET(CRONOPLE!$F$14,$M70,AU$13)="",10^12,OFFSET(CRONOPLE!$F$14,$M70,AU$13))))</f>
        <v>1000000000000</v>
      </c>
      <c r="AV70" s="215">
        <f ca="1">IF($D70&lt;&gt;"Serviço",0,IF(AND(AUTOEVENTO="Manual",$M70=1),0,IF(OFFSET(CRONOPLE!$F$14,$M70,AV$13)="",10^12,OFFSET(CRONOPLE!$F$14,$M70,AV$13))))</f>
        <v>1000000000000</v>
      </c>
      <c r="AX70" s="216">
        <f ca="1">IF($D70&lt;&gt;"Serviço",0,IF(OR(AND(AUTOEVENTO="Manual",$M70=1),$M70&gt;(ROW(PLE.lastrow)-ROW(PLE.firstrow))),0,IF(OFFSET(PLE!$G$14,$M70,AX$13)="",10^12,OFFSET(PLE!$G$14,$M70,AX$13))))</f>
        <v>1000000000000</v>
      </c>
      <c r="AY70" s="216">
        <f ca="1">IF($D70&lt;&gt;"Serviço",0,IF(OR(AND(AUTOEVENTO="Manual",$M70=1),$M70&gt;(ROW(PLE.lastrow)-ROW(PLE.firstrow))),0,IF(OFFSET(PLE!$G$14,$M70,AY$13)="",10^12,OFFSET(PLE!$G$14,$M70,AY$13))))</f>
        <v>1000000000000</v>
      </c>
      <c r="AZ70" s="216">
        <f ca="1">IF($D70&lt;&gt;"Serviço",0,IF(OR(AND(AUTOEVENTO="Manual",$M70=1),$M70&gt;(ROW(PLE.lastrow)-ROW(PLE.firstrow))),0,IF(OFFSET(PLE!$G$14,$M70,AZ$13)="",10^12,OFFSET(PLE!$G$14,$M70,AZ$13))))</f>
        <v>1000000000000</v>
      </c>
      <c r="BA70" s="216">
        <f ca="1">IF($D70&lt;&gt;"Serviço",0,IF(OR(AND(AUTOEVENTO="Manual",$M70=1),$M70&gt;(ROW(PLE.lastrow)-ROW(PLE.firstrow))),0,IF(OFFSET(PLE!$G$14,$M70,BA$13)="",10^12,OFFSET(PLE!$G$14,$M70,BA$13))))</f>
        <v>1000000000000</v>
      </c>
      <c r="BB70" s="216">
        <f ca="1">IF($D70&lt;&gt;"Serviço",0,IF(OR(AND(AUTOEVENTO="Manual",$M70=1),$M70&gt;(ROW(PLE.lastrow)-ROW(PLE.firstrow))),0,IF(OFFSET(PLE!$G$14,$M70,BB$13)="",10^12,OFFSET(PLE!$G$14,$M70,BB$13))))</f>
        <v>1000000000000</v>
      </c>
      <c r="BC70" s="216">
        <f ca="1">IF($D70&lt;&gt;"Serviço",0,IF(OR(AND(AUTOEVENTO="Manual",$M70=1),$M70&gt;(ROW(PLE.lastrow)-ROW(PLE.firstrow))),0,IF(OFFSET(PLE!$G$14,$M70,BC$13)="",10^12,OFFSET(PLE!$G$14,$M70,BC$13))))</f>
        <v>1000000000000</v>
      </c>
      <c r="BD70" s="216">
        <f ca="1">IF($D70&lt;&gt;"Serviço",0,IF(OR(AND(AUTOEVENTO="Manual",$M70=1),$M70&gt;(ROW(PLE.lastrow)-ROW(PLE.firstrow))),0,IF(OFFSET(PLE!$G$14,$M70,BD$13)="",10^12,OFFSET(PLE!$G$14,$M70,BD$13))))</f>
        <v>1000000000000</v>
      </c>
      <c r="BE70" s="216">
        <f ca="1">IF($D70&lt;&gt;"Serviço",0,IF(OR(AND(AUTOEVENTO="Manual",$M70=1),$M70&gt;(ROW(PLE.lastrow)-ROW(PLE.firstrow))),0,IF(OFFSET(PLE!$G$14,$M70,BE$13)="",10^12,OFFSET(PLE!$G$14,$M70,BE$13))))</f>
        <v>1000000000000</v>
      </c>
      <c r="BF70" s="216">
        <f ca="1">IF($D70&lt;&gt;"Serviço",0,IF(OR(AND(AUTOEVENTO="Manual",$M70=1),$M70&gt;(ROW(PLE.lastrow)-ROW(PLE.firstrow))),0,IF(OFFSET(PLE!$G$14,$M70,BF$13)="",10^12,OFFSET(PLE!$G$14,$M70,BF$13))))</f>
        <v>1000000000000</v>
      </c>
      <c r="BG70" s="216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x14ac:dyDescent="0.2">
      <c r="A71" s="9" t="str">
        <f t="shared" ca="1" si="8"/>
        <v>37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5" t="str">
        <f ca="1">OFFSET(ORÇAMENTO!N$15,ROW(D71)-ROW(D$15),0)</f>
        <v>Serviço</v>
      </c>
      <c r="E71" s="205" t="str">
        <f ca="1">OFFSET(ORÇAMENTO!O$15,ROW(E71)-ROW(E$15),0)</f>
        <v>-</v>
      </c>
      <c r="F71" s="206">
        <f ca="1">OFFSET(ORÇAMENTO!R$15,ROW(F71)-ROW(F$15),0)</f>
        <v>190</v>
      </c>
      <c r="G71" s="207" t="str">
        <f ca="1">IF($D71&lt;&gt;"Serviço","",OFFSET(ORÇAMENTO!S$15,ROW(G71)-ROW(G$15),0))</f>
        <v>-</v>
      </c>
      <c r="H71" s="151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1"/>
      <c r="K71" s="208"/>
      <c r="L71" s="209" t="s">
        <v>254</v>
      </c>
      <c r="M71" s="210">
        <f ca="1">IF($D71&lt;&gt;"Serviço","",IF(AUTOEVENTO="manual",$A71,IF(ISERROR(MATCH($A71,$A$15:OFFSET($A71,-1,0),0)),MAX($M$15:OFFSET(M71,-1,0))+1,INDEX($M$15:OFFSET(M71,-1,0),MATCH($A71,$A$15:OFFSET($A71,-1,0),0)))))</f>
        <v>5</v>
      </c>
      <c r="N71" s="211" t="str">
        <f ca="1">IF($D71&lt;&gt;"Serviço","",IF(AUTOEVENTO="Manual",IF($A71=0,"&lt;-- defina o número do agrupador",OFFSET(EVENTOS!$D$14,$A71,0)),OFFSET($F$15,$A71,0)))</f>
        <v>PINTURAS E TEXTURAS</v>
      </c>
      <c r="O71" s="212"/>
      <c r="Q71" s="212"/>
      <c r="R71" s="213"/>
      <c r="S71" s="213"/>
      <c r="T71" s="213"/>
      <c r="U71" s="213"/>
      <c r="V71" s="213"/>
      <c r="W71" s="213"/>
      <c r="X71" s="213"/>
      <c r="Y71" s="213"/>
      <c r="Z71" s="214"/>
      <c r="AB71" s="592">
        <f ca="1">IF(AND($D71="Serviço",AB$12&lt;&gt;0,$H71&gt;0,OR(AUTOEVENTO&lt;&gt;"manual",$M71&lt;&gt;1)),ROUND(OFFSET($P71,0,AB$13),15-13*ORÇAMENTO!$AF$7)/$H71*OFFSET(ORÇAMENTO!$X$15,ROW(AB71)-ROW(AB$15),0),0)</f>
        <v>0</v>
      </c>
      <c r="AC71" s="593">
        <f ca="1">IF(AND($D71="Serviço",AC$12&lt;&gt;0,$H71&gt;0,OR(AUTOEVENTO&lt;&gt;"manual",$M71&lt;&gt;1)),ROUND(OFFSET($P71,0,AC$13),15-13*ORÇAMENTO!$AF$7)/$H71*OFFSET(ORÇAMENTO!$X$15,ROW(AC71)-ROW(AC$15),0),0)</f>
        <v>0</v>
      </c>
      <c r="AD71" s="593">
        <f ca="1">IF(AND($D71="Serviço",AD$12&lt;&gt;0,$H71&gt;0,OR(AUTOEVENTO&lt;&gt;"manual",$M71&lt;&gt;1)),ROUND(OFFSET($P71,0,AD$13),15-13*ORÇAMENTO!$AF$7)/$H71*OFFSET(ORÇAMENTO!$X$15,ROW(AD71)-ROW(AD$15),0),0)</f>
        <v>0</v>
      </c>
      <c r="AE71" s="593">
        <f ca="1">IF(AND($D71="Serviço",AE$12&lt;&gt;0,$H71&gt;0,OR(AUTOEVENTO&lt;&gt;"manual",$M71&lt;&gt;1)),ROUND(OFFSET($P71,0,AE$13),15-13*ORÇAMENTO!$AF$7)/$H71*OFFSET(ORÇAMENTO!$X$15,ROW(AE71)-ROW(AE$15),0),0)</f>
        <v>0</v>
      </c>
      <c r="AF71" s="593">
        <f ca="1">IF(AND($D71="Serviço",AF$12&lt;&gt;0,$H71&gt;0,OR(AUTOEVENTO&lt;&gt;"manual",$M71&lt;&gt;1)),ROUND(OFFSET($P71,0,AF$13),15-13*ORÇAMENTO!$AF$7)/$H71*OFFSET(ORÇAMENTO!$X$15,ROW(AF71)-ROW(AF$15),0),0)</f>
        <v>0</v>
      </c>
      <c r="AG71" s="593">
        <f ca="1">IF(AND($D71="Serviço",AG$12&lt;&gt;0,$H71&gt;0,OR(AUTOEVENTO&lt;&gt;"manual",$M71&lt;&gt;1)),ROUND(OFFSET($P71,0,AG$13),15-13*ORÇAMENTO!$AF$7)/$H71*OFFSET(ORÇAMENTO!$X$15,ROW(AG71)-ROW(AG$15),0),0)</f>
        <v>0</v>
      </c>
      <c r="AH71" s="593">
        <f ca="1">IF(AND($D71="Serviço",AH$12&lt;&gt;0,$H71&gt;0,OR(AUTOEVENTO&lt;&gt;"manual",$M71&lt;&gt;1)),ROUND(OFFSET($P71,0,AH$13),15-13*ORÇAMENTO!$AF$7)/$H71*OFFSET(ORÇAMENTO!$X$15,ROW(AH71)-ROW(AH$15),0),0)</f>
        <v>0</v>
      </c>
      <c r="AI71" s="593">
        <f ca="1">IF(AND($D71="Serviço",AI$12&lt;&gt;0,$H71&gt;0,OR(AUTOEVENTO&lt;&gt;"manual",$M71&lt;&gt;1)),ROUND(OFFSET($P71,0,AI$13),15-13*ORÇAMENTO!$AF$7)/$H71*OFFSET(ORÇAMENTO!$X$15,ROW(AI71)-ROW(AI$15),0),0)</f>
        <v>0</v>
      </c>
      <c r="AJ71" s="593">
        <f ca="1">IF(AND($D71="Serviço",AJ$12&lt;&gt;0,$H71&gt;0,OR(AUTOEVENTO&lt;&gt;"manual",$M71&lt;&gt;1)),ROUND(OFFSET($P71,0,AJ$13),15-13*ORÇAMENTO!$AF$7)/$H71*OFFSET(ORÇAMENTO!$X$15,ROW(AJ71)-ROW(AJ$15),0),0)</f>
        <v>0</v>
      </c>
      <c r="AK71" s="594">
        <f ca="1">IF(AND($D71="Serviço",AK$12&lt;&gt;0,$H71&gt;0,OR(AUTOEVENTO&lt;&gt;"manual",$M71&lt;&gt;1)),ROUND(OFFSET($P71,0,AK$13),15-13*ORÇAMENTO!$AF$7)/$H71*OFFSET(ORÇAMENTO!$X$15,ROW(AK71)-ROW(AK$15),0),0)</f>
        <v>0</v>
      </c>
      <c r="AM71" s="215">
        <f ca="1">IF($D71&lt;&gt;"Serviço",0,IF(AND(AUTOEVENTO="Manual",$M71=1),0,IF(OFFSET(CRONOPLE!$F$14,$M71,AM$13)="",10^12,OFFSET(CRONOPLE!$F$14,$M71,AM$13))))</f>
        <v>2</v>
      </c>
      <c r="AN71" s="215">
        <f ca="1">IF($D71&lt;&gt;"Serviço",0,IF(AND(AUTOEVENTO="Manual",$M71=1),0,IF(OFFSET(CRONOPLE!$F$14,$M71,AN$13)="",10^12,OFFSET(CRONOPLE!$F$14,$M71,AN$13))))</f>
        <v>2</v>
      </c>
      <c r="AO71" s="215">
        <f ca="1">IF($D71&lt;&gt;"Serviço",0,IF(AND(AUTOEVENTO="Manual",$M71=1),0,IF(OFFSET(CRONOPLE!$F$14,$M71,AO$13)="",10^12,OFFSET(CRONOPLE!$F$14,$M71,AO$13))))</f>
        <v>3</v>
      </c>
      <c r="AP71" s="215">
        <f ca="1">IF($D71&lt;&gt;"Serviço",0,IF(AND(AUTOEVENTO="Manual",$M71=1),0,IF(OFFSET(CRONOPLE!$F$14,$M71,AP$13)="",10^12,OFFSET(CRONOPLE!$F$14,$M71,AP$13))))</f>
        <v>1000000000000</v>
      </c>
      <c r="AQ71" s="215">
        <f ca="1">IF($D71&lt;&gt;"Serviço",0,IF(AND(AUTOEVENTO="Manual",$M71=1),0,IF(OFFSET(CRONOPLE!$F$14,$M71,AQ$13)="",10^12,OFFSET(CRONOPLE!$F$14,$M71,AQ$13))))</f>
        <v>1000000000000</v>
      </c>
      <c r="AR71" s="215">
        <f ca="1">IF($D71&lt;&gt;"Serviço",0,IF(AND(AUTOEVENTO="Manual",$M71=1),0,IF(OFFSET(CRONOPLE!$F$14,$M71,AR$13)="",10^12,OFFSET(CRONOPLE!$F$14,$M71,AR$13))))</f>
        <v>1000000000000</v>
      </c>
      <c r="AS71" s="215">
        <f ca="1">IF($D71&lt;&gt;"Serviço",0,IF(AND(AUTOEVENTO="Manual",$M71=1),0,IF(OFFSET(CRONOPLE!$F$14,$M71,AS$13)="",10^12,OFFSET(CRONOPLE!$F$14,$M71,AS$13))))</f>
        <v>1000000000000</v>
      </c>
      <c r="AT71" s="215">
        <f ca="1">IF($D71&lt;&gt;"Serviço",0,IF(AND(AUTOEVENTO="Manual",$M71=1),0,IF(OFFSET(CRONOPLE!$F$14,$M71,AT$13)="",10^12,OFFSET(CRONOPLE!$F$14,$M71,AT$13))))</f>
        <v>1000000000000</v>
      </c>
      <c r="AU71" s="215">
        <f ca="1">IF($D71&lt;&gt;"Serviço",0,IF(AND(AUTOEVENTO="Manual",$M71=1),0,IF(OFFSET(CRONOPLE!$F$14,$M71,AU$13)="",10^12,OFFSET(CRONOPLE!$F$14,$M71,AU$13))))</f>
        <v>1000000000000</v>
      </c>
      <c r="AV71" s="215">
        <f ca="1">IF($D71&lt;&gt;"Serviço",0,IF(AND(AUTOEVENTO="Manual",$M71=1),0,IF(OFFSET(CRONOPLE!$F$14,$M71,AV$13)="",10^12,OFFSET(CRONOPLE!$F$14,$M71,AV$13))))</f>
        <v>1000000000000</v>
      </c>
      <c r="AX71" s="216">
        <f ca="1">IF($D71&lt;&gt;"Serviço",0,IF(OR(AND(AUTOEVENTO="Manual",$M71=1),$M71&gt;(ROW(PLE.lastrow)-ROW(PLE.firstrow))),0,IF(OFFSET(PLE!$G$14,$M71,AX$13)="",10^12,OFFSET(PLE!$G$14,$M71,AX$13))))</f>
        <v>1000000000000</v>
      </c>
      <c r="AY71" s="216">
        <f ca="1">IF($D71&lt;&gt;"Serviço",0,IF(OR(AND(AUTOEVENTO="Manual",$M71=1),$M71&gt;(ROW(PLE.lastrow)-ROW(PLE.firstrow))),0,IF(OFFSET(PLE!$G$14,$M71,AY$13)="",10^12,OFFSET(PLE!$G$14,$M71,AY$13))))</f>
        <v>1000000000000</v>
      </c>
      <c r="AZ71" s="216">
        <f ca="1">IF($D71&lt;&gt;"Serviço",0,IF(OR(AND(AUTOEVENTO="Manual",$M71=1),$M71&gt;(ROW(PLE.lastrow)-ROW(PLE.firstrow))),0,IF(OFFSET(PLE!$G$14,$M71,AZ$13)="",10^12,OFFSET(PLE!$G$14,$M71,AZ$13))))</f>
        <v>1000000000000</v>
      </c>
      <c r="BA71" s="216">
        <f ca="1">IF($D71&lt;&gt;"Serviço",0,IF(OR(AND(AUTOEVENTO="Manual",$M71=1),$M71&gt;(ROW(PLE.lastrow)-ROW(PLE.firstrow))),0,IF(OFFSET(PLE!$G$14,$M71,BA$13)="",10^12,OFFSET(PLE!$G$14,$M71,BA$13))))</f>
        <v>1000000000000</v>
      </c>
      <c r="BB71" s="216">
        <f ca="1">IF($D71&lt;&gt;"Serviço",0,IF(OR(AND(AUTOEVENTO="Manual",$M71=1),$M71&gt;(ROW(PLE.lastrow)-ROW(PLE.firstrow))),0,IF(OFFSET(PLE!$G$14,$M71,BB$13)="",10^12,OFFSET(PLE!$G$14,$M71,BB$13))))</f>
        <v>1000000000000</v>
      </c>
      <c r="BC71" s="216">
        <f ca="1">IF($D71&lt;&gt;"Serviço",0,IF(OR(AND(AUTOEVENTO="Manual",$M71=1),$M71&gt;(ROW(PLE.lastrow)-ROW(PLE.firstrow))),0,IF(OFFSET(PLE!$G$14,$M71,BC$13)="",10^12,OFFSET(PLE!$G$14,$M71,BC$13))))</f>
        <v>1000000000000</v>
      </c>
      <c r="BD71" s="216">
        <f ca="1">IF($D71&lt;&gt;"Serviço",0,IF(OR(AND(AUTOEVENTO="Manual",$M71=1),$M71&gt;(ROW(PLE.lastrow)-ROW(PLE.firstrow))),0,IF(OFFSET(PLE!$G$14,$M71,BD$13)="",10^12,OFFSET(PLE!$G$14,$M71,BD$13))))</f>
        <v>1000000000000</v>
      </c>
      <c r="BE71" s="216">
        <f ca="1">IF($D71&lt;&gt;"Serviço",0,IF(OR(AND(AUTOEVENTO="Manual",$M71=1),$M71&gt;(ROW(PLE.lastrow)-ROW(PLE.firstrow))),0,IF(OFFSET(PLE!$G$14,$M71,BE$13)="",10^12,OFFSET(PLE!$G$14,$M71,BE$13))))</f>
        <v>1000000000000</v>
      </c>
      <c r="BF71" s="216">
        <f ca="1">IF($D71&lt;&gt;"Serviço",0,IF(OR(AND(AUTOEVENTO="Manual",$M71=1),$M71&gt;(ROW(PLE.lastrow)-ROW(PLE.firstrow))),0,IF(OFFSET(PLE!$G$14,$M71,BF$13)="",10^12,OFFSET(PLE!$G$14,$M71,BF$13))))</f>
        <v>1000000000000</v>
      </c>
      <c r="BG71" s="216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9" t="str">
        <f t="shared" ca="1" si="8"/>
        <v>37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5" t="str">
        <f ca="1">OFFSET(ORÇAMENTO!N$15,ROW(D72)-ROW(D$15),0)</f>
        <v>Serviço</v>
      </c>
      <c r="E72" s="205" t="str">
        <f ca="1">OFFSET(ORÇAMENTO!O$15,ROW(E72)-ROW(E$15),0)</f>
        <v>-</v>
      </c>
      <c r="F72" s="206" t="str">
        <f ca="1">OFFSET(ORÇAMENTO!R$15,ROW(F72)-ROW(F$15),0)</f>
        <v>(abra o arquivo 'Referência 05-2023.xls)</v>
      </c>
      <c r="G72" s="207" t="str">
        <f ca="1">IF($D72&lt;&gt;"Serviço","",OFFSET(ORÇAMENTO!S$15,ROW(G72)-ROW(G$15),0))</f>
        <v>-</v>
      </c>
      <c r="H72" s="151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1"/>
      <c r="K72" s="208"/>
      <c r="L72" s="209" t="s">
        <v>254</v>
      </c>
      <c r="M72" s="210">
        <f ca="1">IF($D72&lt;&gt;"Serviço","",IF(AUTOEVENTO="manual",$A72,IF(ISERROR(MATCH($A72,$A$15:OFFSET($A72,-1,0),0)),MAX($M$15:OFFSET(M72,-1,0))+1,INDEX($M$15:OFFSET(M72,-1,0),MATCH($A72,$A$15:OFFSET($A72,-1,0),0)))))</f>
        <v>5</v>
      </c>
      <c r="N72" s="211" t="str">
        <f ca="1">IF($D72&lt;&gt;"Serviço","",IF(AUTOEVENTO="Manual",IF($A72=0,"&lt;-- defina o número do agrupador",OFFSET(EVENTOS!$D$14,$A72,0)),OFFSET($F$15,$A72,0)))</f>
        <v>PINTURAS E TEXTURAS</v>
      </c>
      <c r="O72" s="212"/>
      <c r="Q72" s="212"/>
      <c r="R72" s="213"/>
      <c r="S72" s="213"/>
      <c r="T72" s="213"/>
      <c r="U72" s="213"/>
      <c r="V72" s="213"/>
      <c r="W72" s="213"/>
      <c r="X72" s="213"/>
      <c r="Y72" s="213"/>
      <c r="Z72" s="214"/>
      <c r="AB72" s="592">
        <f ca="1">IF(AND($D72="Serviço",AB$12&lt;&gt;0,$H72&gt;0,OR(AUTOEVENTO&lt;&gt;"manual",$M72&lt;&gt;1)),ROUND(OFFSET($P72,0,AB$13),15-13*ORÇAMENTO!$AF$7)/$H72*OFFSET(ORÇAMENTO!$X$15,ROW(AB72)-ROW(AB$15),0),0)</f>
        <v>0</v>
      </c>
      <c r="AC72" s="593">
        <f ca="1">IF(AND($D72="Serviço",AC$12&lt;&gt;0,$H72&gt;0,OR(AUTOEVENTO&lt;&gt;"manual",$M72&lt;&gt;1)),ROUND(OFFSET($P72,0,AC$13),15-13*ORÇAMENTO!$AF$7)/$H72*OFFSET(ORÇAMENTO!$X$15,ROW(AC72)-ROW(AC$15),0),0)</f>
        <v>0</v>
      </c>
      <c r="AD72" s="593">
        <f ca="1">IF(AND($D72="Serviço",AD$12&lt;&gt;0,$H72&gt;0,OR(AUTOEVENTO&lt;&gt;"manual",$M72&lt;&gt;1)),ROUND(OFFSET($P72,0,AD$13),15-13*ORÇAMENTO!$AF$7)/$H72*OFFSET(ORÇAMENTO!$X$15,ROW(AD72)-ROW(AD$15),0),0)</f>
        <v>0</v>
      </c>
      <c r="AE72" s="593">
        <f ca="1">IF(AND($D72="Serviço",AE$12&lt;&gt;0,$H72&gt;0,OR(AUTOEVENTO&lt;&gt;"manual",$M72&lt;&gt;1)),ROUND(OFFSET($P72,0,AE$13),15-13*ORÇAMENTO!$AF$7)/$H72*OFFSET(ORÇAMENTO!$X$15,ROW(AE72)-ROW(AE$15),0),0)</f>
        <v>0</v>
      </c>
      <c r="AF72" s="593">
        <f ca="1">IF(AND($D72="Serviço",AF$12&lt;&gt;0,$H72&gt;0,OR(AUTOEVENTO&lt;&gt;"manual",$M72&lt;&gt;1)),ROUND(OFFSET($P72,0,AF$13),15-13*ORÇAMENTO!$AF$7)/$H72*OFFSET(ORÇAMENTO!$X$15,ROW(AF72)-ROW(AF$15),0),0)</f>
        <v>0</v>
      </c>
      <c r="AG72" s="593">
        <f ca="1">IF(AND($D72="Serviço",AG$12&lt;&gt;0,$H72&gt;0,OR(AUTOEVENTO&lt;&gt;"manual",$M72&lt;&gt;1)),ROUND(OFFSET($P72,0,AG$13),15-13*ORÇAMENTO!$AF$7)/$H72*OFFSET(ORÇAMENTO!$X$15,ROW(AG72)-ROW(AG$15),0),0)</f>
        <v>0</v>
      </c>
      <c r="AH72" s="593">
        <f ca="1">IF(AND($D72="Serviço",AH$12&lt;&gt;0,$H72&gt;0,OR(AUTOEVENTO&lt;&gt;"manual",$M72&lt;&gt;1)),ROUND(OFFSET($P72,0,AH$13),15-13*ORÇAMENTO!$AF$7)/$H72*OFFSET(ORÇAMENTO!$X$15,ROW(AH72)-ROW(AH$15),0),0)</f>
        <v>0</v>
      </c>
      <c r="AI72" s="593">
        <f ca="1">IF(AND($D72="Serviço",AI$12&lt;&gt;0,$H72&gt;0,OR(AUTOEVENTO&lt;&gt;"manual",$M72&lt;&gt;1)),ROUND(OFFSET($P72,0,AI$13),15-13*ORÇAMENTO!$AF$7)/$H72*OFFSET(ORÇAMENTO!$X$15,ROW(AI72)-ROW(AI$15),0),0)</f>
        <v>0</v>
      </c>
      <c r="AJ72" s="593">
        <f ca="1">IF(AND($D72="Serviço",AJ$12&lt;&gt;0,$H72&gt;0,OR(AUTOEVENTO&lt;&gt;"manual",$M72&lt;&gt;1)),ROUND(OFFSET($P72,0,AJ$13),15-13*ORÇAMENTO!$AF$7)/$H72*OFFSET(ORÇAMENTO!$X$15,ROW(AJ72)-ROW(AJ$15),0),0)</f>
        <v>0</v>
      </c>
      <c r="AK72" s="594">
        <f ca="1">IF(AND($D72="Serviço",AK$12&lt;&gt;0,$H72&gt;0,OR(AUTOEVENTO&lt;&gt;"manual",$M72&lt;&gt;1)),ROUND(OFFSET($P72,0,AK$13),15-13*ORÇAMENTO!$AF$7)/$H72*OFFSET(ORÇAMENTO!$X$15,ROW(AK72)-ROW(AK$15),0),0)</f>
        <v>0</v>
      </c>
      <c r="AM72" s="215">
        <f ca="1">IF($D72&lt;&gt;"Serviço",0,IF(AND(AUTOEVENTO="Manual",$M72=1),0,IF(OFFSET(CRONOPLE!$F$14,$M72,AM$13)="",10^12,OFFSET(CRONOPLE!$F$14,$M72,AM$13))))</f>
        <v>2</v>
      </c>
      <c r="AN72" s="215">
        <f ca="1">IF($D72&lt;&gt;"Serviço",0,IF(AND(AUTOEVENTO="Manual",$M72=1),0,IF(OFFSET(CRONOPLE!$F$14,$M72,AN$13)="",10^12,OFFSET(CRONOPLE!$F$14,$M72,AN$13))))</f>
        <v>2</v>
      </c>
      <c r="AO72" s="215">
        <f ca="1">IF($D72&lt;&gt;"Serviço",0,IF(AND(AUTOEVENTO="Manual",$M72=1),0,IF(OFFSET(CRONOPLE!$F$14,$M72,AO$13)="",10^12,OFFSET(CRONOPLE!$F$14,$M72,AO$13))))</f>
        <v>3</v>
      </c>
      <c r="AP72" s="215">
        <f ca="1">IF($D72&lt;&gt;"Serviço",0,IF(AND(AUTOEVENTO="Manual",$M72=1),0,IF(OFFSET(CRONOPLE!$F$14,$M72,AP$13)="",10^12,OFFSET(CRONOPLE!$F$14,$M72,AP$13))))</f>
        <v>1000000000000</v>
      </c>
      <c r="AQ72" s="215">
        <f ca="1">IF($D72&lt;&gt;"Serviço",0,IF(AND(AUTOEVENTO="Manual",$M72=1),0,IF(OFFSET(CRONOPLE!$F$14,$M72,AQ$13)="",10^12,OFFSET(CRONOPLE!$F$14,$M72,AQ$13))))</f>
        <v>1000000000000</v>
      </c>
      <c r="AR72" s="215">
        <f ca="1">IF($D72&lt;&gt;"Serviço",0,IF(AND(AUTOEVENTO="Manual",$M72=1),0,IF(OFFSET(CRONOPLE!$F$14,$M72,AR$13)="",10^12,OFFSET(CRONOPLE!$F$14,$M72,AR$13))))</f>
        <v>1000000000000</v>
      </c>
      <c r="AS72" s="215">
        <f ca="1">IF($D72&lt;&gt;"Serviço",0,IF(AND(AUTOEVENTO="Manual",$M72=1),0,IF(OFFSET(CRONOPLE!$F$14,$M72,AS$13)="",10^12,OFFSET(CRONOPLE!$F$14,$M72,AS$13))))</f>
        <v>1000000000000</v>
      </c>
      <c r="AT72" s="215">
        <f ca="1">IF($D72&lt;&gt;"Serviço",0,IF(AND(AUTOEVENTO="Manual",$M72=1),0,IF(OFFSET(CRONOPLE!$F$14,$M72,AT$13)="",10^12,OFFSET(CRONOPLE!$F$14,$M72,AT$13))))</f>
        <v>1000000000000</v>
      </c>
      <c r="AU72" s="215">
        <f ca="1">IF($D72&lt;&gt;"Serviço",0,IF(AND(AUTOEVENTO="Manual",$M72=1),0,IF(OFFSET(CRONOPLE!$F$14,$M72,AU$13)="",10^12,OFFSET(CRONOPLE!$F$14,$M72,AU$13))))</f>
        <v>1000000000000</v>
      </c>
      <c r="AV72" s="215">
        <f ca="1">IF($D72&lt;&gt;"Serviço",0,IF(AND(AUTOEVENTO="Manual",$M72=1),0,IF(OFFSET(CRONOPLE!$F$14,$M72,AV$13)="",10^12,OFFSET(CRONOPLE!$F$14,$M72,AV$13))))</f>
        <v>1000000000000</v>
      </c>
      <c r="AX72" s="216">
        <f ca="1">IF($D72&lt;&gt;"Serviço",0,IF(OR(AND(AUTOEVENTO="Manual",$M72=1),$M72&gt;(ROW(PLE.lastrow)-ROW(PLE.firstrow))),0,IF(OFFSET(PLE!$G$14,$M72,AX$13)="",10^12,OFFSET(PLE!$G$14,$M72,AX$13))))</f>
        <v>1000000000000</v>
      </c>
      <c r="AY72" s="216">
        <f ca="1">IF($D72&lt;&gt;"Serviço",0,IF(OR(AND(AUTOEVENTO="Manual",$M72=1),$M72&gt;(ROW(PLE.lastrow)-ROW(PLE.firstrow))),0,IF(OFFSET(PLE!$G$14,$M72,AY$13)="",10^12,OFFSET(PLE!$G$14,$M72,AY$13))))</f>
        <v>1000000000000</v>
      </c>
      <c r="AZ72" s="216">
        <f ca="1">IF($D72&lt;&gt;"Serviço",0,IF(OR(AND(AUTOEVENTO="Manual",$M72=1),$M72&gt;(ROW(PLE.lastrow)-ROW(PLE.firstrow))),0,IF(OFFSET(PLE!$G$14,$M72,AZ$13)="",10^12,OFFSET(PLE!$G$14,$M72,AZ$13))))</f>
        <v>1000000000000</v>
      </c>
      <c r="BA72" s="216">
        <f ca="1">IF($D72&lt;&gt;"Serviço",0,IF(OR(AND(AUTOEVENTO="Manual",$M72=1),$M72&gt;(ROW(PLE.lastrow)-ROW(PLE.firstrow))),0,IF(OFFSET(PLE!$G$14,$M72,BA$13)="",10^12,OFFSET(PLE!$G$14,$M72,BA$13))))</f>
        <v>1000000000000</v>
      </c>
      <c r="BB72" s="216">
        <f ca="1">IF($D72&lt;&gt;"Serviço",0,IF(OR(AND(AUTOEVENTO="Manual",$M72=1),$M72&gt;(ROW(PLE.lastrow)-ROW(PLE.firstrow))),0,IF(OFFSET(PLE!$G$14,$M72,BB$13)="",10^12,OFFSET(PLE!$G$14,$M72,BB$13))))</f>
        <v>1000000000000</v>
      </c>
      <c r="BC72" s="216">
        <f ca="1">IF($D72&lt;&gt;"Serviço",0,IF(OR(AND(AUTOEVENTO="Manual",$M72=1),$M72&gt;(ROW(PLE.lastrow)-ROW(PLE.firstrow))),0,IF(OFFSET(PLE!$G$14,$M72,BC$13)="",10^12,OFFSET(PLE!$G$14,$M72,BC$13))))</f>
        <v>1000000000000</v>
      </c>
      <c r="BD72" s="216">
        <f ca="1">IF($D72&lt;&gt;"Serviço",0,IF(OR(AND(AUTOEVENTO="Manual",$M72=1),$M72&gt;(ROW(PLE.lastrow)-ROW(PLE.firstrow))),0,IF(OFFSET(PLE!$G$14,$M72,BD$13)="",10^12,OFFSET(PLE!$G$14,$M72,BD$13))))</f>
        <v>1000000000000</v>
      </c>
      <c r="BE72" s="216">
        <f ca="1">IF($D72&lt;&gt;"Serviço",0,IF(OR(AND(AUTOEVENTO="Manual",$M72=1),$M72&gt;(ROW(PLE.lastrow)-ROW(PLE.firstrow))),0,IF(OFFSET(PLE!$G$14,$M72,BE$13)="",10^12,OFFSET(PLE!$G$14,$M72,BE$13))))</f>
        <v>1000000000000</v>
      </c>
      <c r="BF72" s="216">
        <f ca="1">IF($D72&lt;&gt;"Serviço",0,IF(OR(AND(AUTOEVENTO="Manual",$M72=1),$M72&gt;(ROW(PLE.lastrow)-ROW(PLE.firstrow))),0,IF(OFFSET(PLE!$G$14,$M72,BF$13)="",10^12,OFFSET(PLE!$G$14,$M72,BF$13))))</f>
        <v>1000000000000</v>
      </c>
      <c r="BG72" s="216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37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5" t="str">
        <f ca="1">OFFSET(ORÇAMENTO!N$15,ROW(D73)-ROW(D$15),0)</f>
        <v>Serviço</v>
      </c>
      <c r="E73" s="205" t="str">
        <f ca="1">OFFSET(ORÇAMENTO!O$15,ROW(E73)-ROW(E$15),0)</f>
        <v>-</v>
      </c>
      <c r="F73" s="206" t="str">
        <f ca="1">OFFSET(ORÇAMENTO!R$15,ROW(F73)-ROW(F$15),0)</f>
        <v>(abra o arquivo 'Referência 05-2023.xls)</v>
      </c>
      <c r="G73" s="207" t="str">
        <f ca="1">IF($D73&lt;&gt;"Serviço","",OFFSET(ORÇAMENTO!S$15,ROW(G73)-ROW(G$15),0))</f>
        <v>-</v>
      </c>
      <c r="H73" s="151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1"/>
      <c r="K73" s="208"/>
      <c r="L73" s="209" t="s">
        <v>254</v>
      </c>
      <c r="M73" s="210">
        <f ca="1">IF($D73&lt;&gt;"Serviço","",IF(AUTOEVENTO="manual",$A73,IF(ISERROR(MATCH($A73,$A$15:OFFSET($A73,-1,0),0)),MAX($M$15:OFFSET(M73,-1,0))+1,INDEX($M$15:OFFSET(M73,-1,0),MATCH($A73,$A$15:OFFSET($A73,-1,0),0)))))</f>
        <v>5</v>
      </c>
      <c r="N73" s="211" t="str">
        <f ca="1">IF($D73&lt;&gt;"Serviço","",IF(AUTOEVENTO="Manual",IF($A73=0,"&lt;-- defina o número do agrupador",OFFSET(EVENTOS!$D$14,$A73,0)),OFFSET($F$15,$A73,0)))</f>
        <v>PINTURAS E TEXTURAS</v>
      </c>
      <c r="O73" s="212"/>
      <c r="Q73" s="212"/>
      <c r="R73" s="213"/>
      <c r="S73" s="213"/>
      <c r="T73" s="213"/>
      <c r="U73" s="213"/>
      <c r="V73" s="213"/>
      <c r="W73" s="213"/>
      <c r="X73" s="213"/>
      <c r="Y73" s="213"/>
      <c r="Z73" s="214"/>
      <c r="AB73" s="592">
        <f ca="1">IF(AND($D73="Serviço",AB$12&lt;&gt;0,$H73&gt;0,OR(AUTOEVENTO&lt;&gt;"manual",$M73&lt;&gt;1)),ROUND(OFFSET($P73,0,AB$13),15-13*ORÇAMENTO!$AF$7)/$H73*OFFSET(ORÇAMENTO!$X$15,ROW(AB73)-ROW(AB$15),0),0)</f>
        <v>0</v>
      </c>
      <c r="AC73" s="593">
        <f ca="1">IF(AND($D73="Serviço",AC$12&lt;&gt;0,$H73&gt;0,OR(AUTOEVENTO&lt;&gt;"manual",$M73&lt;&gt;1)),ROUND(OFFSET($P73,0,AC$13),15-13*ORÇAMENTO!$AF$7)/$H73*OFFSET(ORÇAMENTO!$X$15,ROW(AC73)-ROW(AC$15),0),0)</f>
        <v>0</v>
      </c>
      <c r="AD73" s="593">
        <f ca="1">IF(AND($D73="Serviço",AD$12&lt;&gt;0,$H73&gt;0,OR(AUTOEVENTO&lt;&gt;"manual",$M73&lt;&gt;1)),ROUND(OFFSET($P73,0,AD$13),15-13*ORÇAMENTO!$AF$7)/$H73*OFFSET(ORÇAMENTO!$X$15,ROW(AD73)-ROW(AD$15),0),0)</f>
        <v>0</v>
      </c>
      <c r="AE73" s="593">
        <f ca="1">IF(AND($D73="Serviço",AE$12&lt;&gt;0,$H73&gt;0,OR(AUTOEVENTO&lt;&gt;"manual",$M73&lt;&gt;1)),ROUND(OFFSET($P73,0,AE$13),15-13*ORÇAMENTO!$AF$7)/$H73*OFFSET(ORÇAMENTO!$X$15,ROW(AE73)-ROW(AE$15),0),0)</f>
        <v>0</v>
      </c>
      <c r="AF73" s="593">
        <f ca="1">IF(AND($D73="Serviço",AF$12&lt;&gt;0,$H73&gt;0,OR(AUTOEVENTO&lt;&gt;"manual",$M73&lt;&gt;1)),ROUND(OFFSET($P73,0,AF$13),15-13*ORÇAMENTO!$AF$7)/$H73*OFFSET(ORÇAMENTO!$X$15,ROW(AF73)-ROW(AF$15),0),0)</f>
        <v>0</v>
      </c>
      <c r="AG73" s="593">
        <f ca="1">IF(AND($D73="Serviço",AG$12&lt;&gt;0,$H73&gt;0,OR(AUTOEVENTO&lt;&gt;"manual",$M73&lt;&gt;1)),ROUND(OFFSET($P73,0,AG$13),15-13*ORÇAMENTO!$AF$7)/$H73*OFFSET(ORÇAMENTO!$X$15,ROW(AG73)-ROW(AG$15),0),0)</f>
        <v>0</v>
      </c>
      <c r="AH73" s="593">
        <f ca="1">IF(AND($D73="Serviço",AH$12&lt;&gt;0,$H73&gt;0,OR(AUTOEVENTO&lt;&gt;"manual",$M73&lt;&gt;1)),ROUND(OFFSET($P73,0,AH$13),15-13*ORÇAMENTO!$AF$7)/$H73*OFFSET(ORÇAMENTO!$X$15,ROW(AH73)-ROW(AH$15),0),0)</f>
        <v>0</v>
      </c>
      <c r="AI73" s="593">
        <f ca="1">IF(AND($D73="Serviço",AI$12&lt;&gt;0,$H73&gt;0,OR(AUTOEVENTO&lt;&gt;"manual",$M73&lt;&gt;1)),ROUND(OFFSET($P73,0,AI$13),15-13*ORÇAMENTO!$AF$7)/$H73*OFFSET(ORÇAMENTO!$X$15,ROW(AI73)-ROW(AI$15),0),0)</f>
        <v>0</v>
      </c>
      <c r="AJ73" s="593">
        <f ca="1">IF(AND($D73="Serviço",AJ$12&lt;&gt;0,$H73&gt;0,OR(AUTOEVENTO&lt;&gt;"manual",$M73&lt;&gt;1)),ROUND(OFFSET($P73,0,AJ$13),15-13*ORÇAMENTO!$AF$7)/$H73*OFFSET(ORÇAMENTO!$X$15,ROW(AJ73)-ROW(AJ$15),0),0)</f>
        <v>0</v>
      </c>
      <c r="AK73" s="594">
        <f ca="1">IF(AND($D73="Serviço",AK$12&lt;&gt;0,$H73&gt;0,OR(AUTOEVENTO&lt;&gt;"manual",$M73&lt;&gt;1)),ROUND(OFFSET($P73,0,AK$13),15-13*ORÇAMENTO!$AF$7)/$H73*OFFSET(ORÇAMENTO!$X$15,ROW(AK73)-ROW(AK$15),0),0)</f>
        <v>0</v>
      </c>
      <c r="AM73" s="215">
        <f ca="1">IF($D73&lt;&gt;"Serviço",0,IF(AND(AUTOEVENTO="Manual",$M73=1),0,IF(OFFSET(CRONOPLE!$F$14,$M73,AM$13)="",10^12,OFFSET(CRONOPLE!$F$14,$M73,AM$13))))</f>
        <v>2</v>
      </c>
      <c r="AN73" s="215">
        <f ca="1">IF($D73&lt;&gt;"Serviço",0,IF(AND(AUTOEVENTO="Manual",$M73=1),0,IF(OFFSET(CRONOPLE!$F$14,$M73,AN$13)="",10^12,OFFSET(CRONOPLE!$F$14,$M73,AN$13))))</f>
        <v>2</v>
      </c>
      <c r="AO73" s="215">
        <f ca="1">IF($D73&lt;&gt;"Serviço",0,IF(AND(AUTOEVENTO="Manual",$M73=1),0,IF(OFFSET(CRONOPLE!$F$14,$M73,AO$13)="",10^12,OFFSET(CRONOPLE!$F$14,$M73,AO$13))))</f>
        <v>3</v>
      </c>
      <c r="AP73" s="215">
        <f ca="1">IF($D73&lt;&gt;"Serviço",0,IF(AND(AUTOEVENTO="Manual",$M73=1),0,IF(OFFSET(CRONOPLE!$F$14,$M73,AP$13)="",10^12,OFFSET(CRONOPLE!$F$14,$M73,AP$13))))</f>
        <v>1000000000000</v>
      </c>
      <c r="AQ73" s="215">
        <f ca="1">IF($D73&lt;&gt;"Serviço",0,IF(AND(AUTOEVENTO="Manual",$M73=1),0,IF(OFFSET(CRONOPLE!$F$14,$M73,AQ$13)="",10^12,OFFSET(CRONOPLE!$F$14,$M73,AQ$13))))</f>
        <v>1000000000000</v>
      </c>
      <c r="AR73" s="215">
        <f ca="1">IF($D73&lt;&gt;"Serviço",0,IF(AND(AUTOEVENTO="Manual",$M73=1),0,IF(OFFSET(CRONOPLE!$F$14,$M73,AR$13)="",10^12,OFFSET(CRONOPLE!$F$14,$M73,AR$13))))</f>
        <v>1000000000000</v>
      </c>
      <c r="AS73" s="215">
        <f ca="1">IF($D73&lt;&gt;"Serviço",0,IF(AND(AUTOEVENTO="Manual",$M73=1),0,IF(OFFSET(CRONOPLE!$F$14,$M73,AS$13)="",10^12,OFFSET(CRONOPLE!$F$14,$M73,AS$13))))</f>
        <v>1000000000000</v>
      </c>
      <c r="AT73" s="215">
        <f ca="1">IF($D73&lt;&gt;"Serviço",0,IF(AND(AUTOEVENTO="Manual",$M73=1),0,IF(OFFSET(CRONOPLE!$F$14,$M73,AT$13)="",10^12,OFFSET(CRONOPLE!$F$14,$M73,AT$13))))</f>
        <v>1000000000000</v>
      </c>
      <c r="AU73" s="215">
        <f ca="1">IF($D73&lt;&gt;"Serviço",0,IF(AND(AUTOEVENTO="Manual",$M73=1),0,IF(OFFSET(CRONOPLE!$F$14,$M73,AU$13)="",10^12,OFFSET(CRONOPLE!$F$14,$M73,AU$13))))</f>
        <v>1000000000000</v>
      </c>
      <c r="AV73" s="215">
        <f ca="1">IF($D73&lt;&gt;"Serviço",0,IF(AND(AUTOEVENTO="Manual",$M73=1),0,IF(OFFSET(CRONOPLE!$F$14,$M73,AV$13)="",10^12,OFFSET(CRONOPLE!$F$14,$M73,AV$13))))</f>
        <v>1000000000000</v>
      </c>
      <c r="AX73" s="216">
        <f ca="1">IF($D73&lt;&gt;"Serviço",0,IF(OR(AND(AUTOEVENTO="Manual",$M73=1),$M73&gt;(ROW(PLE.lastrow)-ROW(PLE.firstrow))),0,IF(OFFSET(PLE!$G$14,$M73,AX$13)="",10^12,OFFSET(PLE!$G$14,$M73,AX$13))))</f>
        <v>1000000000000</v>
      </c>
      <c r="AY73" s="216">
        <f ca="1">IF($D73&lt;&gt;"Serviço",0,IF(OR(AND(AUTOEVENTO="Manual",$M73=1),$M73&gt;(ROW(PLE.lastrow)-ROW(PLE.firstrow))),0,IF(OFFSET(PLE!$G$14,$M73,AY$13)="",10^12,OFFSET(PLE!$G$14,$M73,AY$13))))</f>
        <v>1000000000000</v>
      </c>
      <c r="AZ73" s="216">
        <f ca="1">IF($D73&lt;&gt;"Serviço",0,IF(OR(AND(AUTOEVENTO="Manual",$M73=1),$M73&gt;(ROW(PLE.lastrow)-ROW(PLE.firstrow))),0,IF(OFFSET(PLE!$G$14,$M73,AZ$13)="",10^12,OFFSET(PLE!$G$14,$M73,AZ$13))))</f>
        <v>1000000000000</v>
      </c>
      <c r="BA73" s="216">
        <f ca="1">IF($D73&lt;&gt;"Serviço",0,IF(OR(AND(AUTOEVENTO="Manual",$M73=1),$M73&gt;(ROW(PLE.lastrow)-ROW(PLE.firstrow))),0,IF(OFFSET(PLE!$G$14,$M73,BA$13)="",10^12,OFFSET(PLE!$G$14,$M73,BA$13))))</f>
        <v>1000000000000</v>
      </c>
      <c r="BB73" s="216">
        <f ca="1">IF($D73&lt;&gt;"Serviço",0,IF(OR(AND(AUTOEVENTO="Manual",$M73=1),$M73&gt;(ROW(PLE.lastrow)-ROW(PLE.firstrow))),0,IF(OFFSET(PLE!$G$14,$M73,BB$13)="",10^12,OFFSET(PLE!$G$14,$M73,BB$13))))</f>
        <v>1000000000000</v>
      </c>
      <c r="BC73" s="216">
        <f ca="1">IF($D73&lt;&gt;"Serviço",0,IF(OR(AND(AUTOEVENTO="Manual",$M73=1),$M73&gt;(ROW(PLE.lastrow)-ROW(PLE.firstrow))),0,IF(OFFSET(PLE!$G$14,$M73,BC$13)="",10^12,OFFSET(PLE!$G$14,$M73,BC$13))))</f>
        <v>1000000000000</v>
      </c>
      <c r="BD73" s="216">
        <f ca="1">IF($D73&lt;&gt;"Serviço",0,IF(OR(AND(AUTOEVENTO="Manual",$M73=1),$M73&gt;(ROW(PLE.lastrow)-ROW(PLE.firstrow))),0,IF(OFFSET(PLE!$G$14,$M73,BD$13)="",10^12,OFFSET(PLE!$G$14,$M73,BD$13))))</f>
        <v>1000000000000</v>
      </c>
      <c r="BE73" s="216">
        <f ca="1">IF($D73&lt;&gt;"Serviço",0,IF(OR(AND(AUTOEVENTO="Manual",$M73=1),$M73&gt;(ROW(PLE.lastrow)-ROW(PLE.firstrow))),0,IF(OFFSET(PLE!$G$14,$M73,BE$13)="",10^12,OFFSET(PLE!$G$14,$M73,BE$13))))</f>
        <v>1000000000000</v>
      </c>
      <c r="BF73" s="216">
        <f ca="1">IF($D73&lt;&gt;"Serviço",0,IF(OR(AND(AUTOEVENTO="Manual",$M73=1),$M73&gt;(ROW(PLE.lastrow)-ROW(PLE.firstrow))),0,IF(OFFSET(PLE!$G$14,$M73,BF$13)="",10^12,OFFSET(PLE!$G$14,$M73,BF$13))))</f>
        <v>1000000000000</v>
      </c>
      <c r="BG73" s="216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37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5" t="str">
        <f ca="1">OFFSET(ORÇAMENTO!N$15,ROW(D74)-ROW(D$15),0)</f>
        <v>Serviço</v>
      </c>
      <c r="E74" s="205" t="str">
        <f ca="1">OFFSET(ORÇAMENTO!O$15,ROW(E74)-ROW(E$15),0)</f>
        <v>-</v>
      </c>
      <c r="F74" s="206" t="str">
        <f ca="1">OFFSET(ORÇAMENTO!R$15,ROW(F74)-ROW(F$15),0)</f>
        <v>(abra o arquivo 'Referência 05-2023.xls)</v>
      </c>
      <c r="G74" s="207" t="str">
        <f ca="1">IF($D74&lt;&gt;"Serviço","",OFFSET(ORÇAMENTO!S$15,ROW(G74)-ROW(G$15),0))</f>
        <v>-</v>
      </c>
      <c r="H74" s="151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1"/>
      <c r="K74" s="208"/>
      <c r="L74" s="209" t="s">
        <v>254</v>
      </c>
      <c r="M74" s="210">
        <f ca="1">IF($D74&lt;&gt;"Serviço","",IF(AUTOEVENTO="manual",$A74,IF(ISERROR(MATCH($A74,$A$15:OFFSET($A74,-1,0),0)),MAX($M$15:OFFSET(M74,-1,0))+1,INDEX($M$15:OFFSET(M74,-1,0),MATCH($A74,$A$15:OFFSET($A74,-1,0),0)))))</f>
        <v>5</v>
      </c>
      <c r="N74" s="211" t="str">
        <f ca="1">IF($D74&lt;&gt;"Serviço","",IF(AUTOEVENTO="Manual",IF($A74=0,"&lt;-- defina o número do agrupador",OFFSET(EVENTOS!$D$14,$A74,0)),OFFSET($F$15,$A74,0)))</f>
        <v>PINTURAS E TEXTURAS</v>
      </c>
      <c r="O74" s="212"/>
      <c r="Q74" s="212"/>
      <c r="R74" s="213"/>
      <c r="S74" s="213"/>
      <c r="T74" s="213"/>
      <c r="U74" s="213"/>
      <c r="V74" s="213"/>
      <c r="W74" s="213"/>
      <c r="X74" s="213"/>
      <c r="Y74" s="213"/>
      <c r="Z74" s="214"/>
      <c r="AB74" s="592">
        <f ca="1">IF(AND($D74="Serviço",AB$12&lt;&gt;0,$H74&gt;0,OR(AUTOEVENTO&lt;&gt;"manual",$M74&lt;&gt;1)),ROUND(OFFSET($P74,0,AB$13),15-13*ORÇAMENTO!$AF$7)/$H74*OFFSET(ORÇAMENTO!$X$15,ROW(AB74)-ROW(AB$15),0),0)</f>
        <v>0</v>
      </c>
      <c r="AC74" s="593">
        <f ca="1">IF(AND($D74="Serviço",AC$12&lt;&gt;0,$H74&gt;0,OR(AUTOEVENTO&lt;&gt;"manual",$M74&lt;&gt;1)),ROUND(OFFSET($P74,0,AC$13),15-13*ORÇAMENTO!$AF$7)/$H74*OFFSET(ORÇAMENTO!$X$15,ROW(AC74)-ROW(AC$15),0),0)</f>
        <v>0</v>
      </c>
      <c r="AD74" s="593">
        <f ca="1">IF(AND($D74="Serviço",AD$12&lt;&gt;0,$H74&gt;0,OR(AUTOEVENTO&lt;&gt;"manual",$M74&lt;&gt;1)),ROUND(OFFSET($P74,0,AD$13),15-13*ORÇAMENTO!$AF$7)/$H74*OFFSET(ORÇAMENTO!$X$15,ROW(AD74)-ROW(AD$15),0),0)</f>
        <v>0</v>
      </c>
      <c r="AE74" s="593">
        <f ca="1">IF(AND($D74="Serviço",AE$12&lt;&gt;0,$H74&gt;0,OR(AUTOEVENTO&lt;&gt;"manual",$M74&lt;&gt;1)),ROUND(OFFSET($P74,0,AE$13),15-13*ORÇAMENTO!$AF$7)/$H74*OFFSET(ORÇAMENTO!$X$15,ROW(AE74)-ROW(AE$15),0),0)</f>
        <v>0</v>
      </c>
      <c r="AF74" s="593">
        <f ca="1">IF(AND($D74="Serviço",AF$12&lt;&gt;0,$H74&gt;0,OR(AUTOEVENTO&lt;&gt;"manual",$M74&lt;&gt;1)),ROUND(OFFSET($P74,0,AF$13),15-13*ORÇAMENTO!$AF$7)/$H74*OFFSET(ORÇAMENTO!$X$15,ROW(AF74)-ROW(AF$15),0),0)</f>
        <v>0</v>
      </c>
      <c r="AG74" s="593">
        <f ca="1">IF(AND($D74="Serviço",AG$12&lt;&gt;0,$H74&gt;0,OR(AUTOEVENTO&lt;&gt;"manual",$M74&lt;&gt;1)),ROUND(OFFSET($P74,0,AG$13),15-13*ORÇAMENTO!$AF$7)/$H74*OFFSET(ORÇAMENTO!$X$15,ROW(AG74)-ROW(AG$15),0),0)</f>
        <v>0</v>
      </c>
      <c r="AH74" s="593">
        <f ca="1">IF(AND($D74="Serviço",AH$12&lt;&gt;0,$H74&gt;0,OR(AUTOEVENTO&lt;&gt;"manual",$M74&lt;&gt;1)),ROUND(OFFSET($P74,0,AH$13),15-13*ORÇAMENTO!$AF$7)/$H74*OFFSET(ORÇAMENTO!$X$15,ROW(AH74)-ROW(AH$15),0),0)</f>
        <v>0</v>
      </c>
      <c r="AI74" s="593">
        <f ca="1">IF(AND($D74="Serviço",AI$12&lt;&gt;0,$H74&gt;0,OR(AUTOEVENTO&lt;&gt;"manual",$M74&lt;&gt;1)),ROUND(OFFSET($P74,0,AI$13),15-13*ORÇAMENTO!$AF$7)/$H74*OFFSET(ORÇAMENTO!$X$15,ROW(AI74)-ROW(AI$15),0),0)</f>
        <v>0</v>
      </c>
      <c r="AJ74" s="593">
        <f ca="1">IF(AND($D74="Serviço",AJ$12&lt;&gt;0,$H74&gt;0,OR(AUTOEVENTO&lt;&gt;"manual",$M74&lt;&gt;1)),ROUND(OFFSET($P74,0,AJ$13),15-13*ORÇAMENTO!$AF$7)/$H74*OFFSET(ORÇAMENTO!$X$15,ROW(AJ74)-ROW(AJ$15),0),0)</f>
        <v>0</v>
      </c>
      <c r="AK74" s="594">
        <f ca="1">IF(AND($D74="Serviço",AK$12&lt;&gt;0,$H74&gt;0,OR(AUTOEVENTO&lt;&gt;"manual",$M74&lt;&gt;1)),ROUND(OFFSET($P74,0,AK$13),15-13*ORÇAMENTO!$AF$7)/$H74*OFFSET(ORÇAMENTO!$X$15,ROW(AK74)-ROW(AK$15),0),0)</f>
        <v>0</v>
      </c>
      <c r="AM74" s="215">
        <f ca="1">IF($D74&lt;&gt;"Serviço",0,IF(AND(AUTOEVENTO="Manual",$M74=1),0,IF(OFFSET(CRONOPLE!$F$14,$M74,AM$13)="",10^12,OFFSET(CRONOPLE!$F$14,$M74,AM$13))))</f>
        <v>2</v>
      </c>
      <c r="AN74" s="215">
        <f ca="1">IF($D74&lt;&gt;"Serviço",0,IF(AND(AUTOEVENTO="Manual",$M74=1),0,IF(OFFSET(CRONOPLE!$F$14,$M74,AN$13)="",10^12,OFFSET(CRONOPLE!$F$14,$M74,AN$13))))</f>
        <v>2</v>
      </c>
      <c r="AO74" s="215">
        <f ca="1">IF($D74&lt;&gt;"Serviço",0,IF(AND(AUTOEVENTO="Manual",$M74=1),0,IF(OFFSET(CRONOPLE!$F$14,$M74,AO$13)="",10^12,OFFSET(CRONOPLE!$F$14,$M74,AO$13))))</f>
        <v>3</v>
      </c>
      <c r="AP74" s="215">
        <f ca="1">IF($D74&lt;&gt;"Serviço",0,IF(AND(AUTOEVENTO="Manual",$M74=1),0,IF(OFFSET(CRONOPLE!$F$14,$M74,AP$13)="",10^12,OFFSET(CRONOPLE!$F$14,$M74,AP$13))))</f>
        <v>1000000000000</v>
      </c>
      <c r="AQ74" s="215">
        <f ca="1">IF($D74&lt;&gt;"Serviço",0,IF(AND(AUTOEVENTO="Manual",$M74=1),0,IF(OFFSET(CRONOPLE!$F$14,$M74,AQ$13)="",10^12,OFFSET(CRONOPLE!$F$14,$M74,AQ$13))))</f>
        <v>1000000000000</v>
      </c>
      <c r="AR74" s="215">
        <f ca="1">IF($D74&lt;&gt;"Serviço",0,IF(AND(AUTOEVENTO="Manual",$M74=1),0,IF(OFFSET(CRONOPLE!$F$14,$M74,AR$13)="",10^12,OFFSET(CRONOPLE!$F$14,$M74,AR$13))))</f>
        <v>1000000000000</v>
      </c>
      <c r="AS74" s="215">
        <f ca="1">IF($D74&lt;&gt;"Serviço",0,IF(AND(AUTOEVENTO="Manual",$M74=1),0,IF(OFFSET(CRONOPLE!$F$14,$M74,AS$13)="",10^12,OFFSET(CRONOPLE!$F$14,$M74,AS$13))))</f>
        <v>1000000000000</v>
      </c>
      <c r="AT74" s="215">
        <f ca="1">IF($D74&lt;&gt;"Serviço",0,IF(AND(AUTOEVENTO="Manual",$M74=1),0,IF(OFFSET(CRONOPLE!$F$14,$M74,AT$13)="",10^12,OFFSET(CRONOPLE!$F$14,$M74,AT$13))))</f>
        <v>1000000000000</v>
      </c>
      <c r="AU74" s="215">
        <f ca="1">IF($D74&lt;&gt;"Serviço",0,IF(AND(AUTOEVENTO="Manual",$M74=1),0,IF(OFFSET(CRONOPLE!$F$14,$M74,AU$13)="",10^12,OFFSET(CRONOPLE!$F$14,$M74,AU$13))))</f>
        <v>1000000000000</v>
      </c>
      <c r="AV74" s="215">
        <f ca="1">IF($D74&lt;&gt;"Serviço",0,IF(AND(AUTOEVENTO="Manual",$M74=1),0,IF(OFFSET(CRONOPLE!$F$14,$M74,AV$13)="",10^12,OFFSET(CRONOPLE!$F$14,$M74,AV$13))))</f>
        <v>1000000000000</v>
      </c>
      <c r="AX74" s="216">
        <f ca="1">IF($D74&lt;&gt;"Serviço",0,IF(OR(AND(AUTOEVENTO="Manual",$M74=1),$M74&gt;(ROW(PLE.lastrow)-ROW(PLE.firstrow))),0,IF(OFFSET(PLE!$G$14,$M74,AX$13)="",10^12,OFFSET(PLE!$G$14,$M74,AX$13))))</f>
        <v>1000000000000</v>
      </c>
      <c r="AY74" s="216">
        <f ca="1">IF($D74&lt;&gt;"Serviço",0,IF(OR(AND(AUTOEVENTO="Manual",$M74=1),$M74&gt;(ROW(PLE.lastrow)-ROW(PLE.firstrow))),0,IF(OFFSET(PLE!$G$14,$M74,AY$13)="",10^12,OFFSET(PLE!$G$14,$M74,AY$13))))</f>
        <v>1000000000000</v>
      </c>
      <c r="AZ74" s="216">
        <f ca="1">IF($D74&lt;&gt;"Serviço",0,IF(OR(AND(AUTOEVENTO="Manual",$M74=1),$M74&gt;(ROW(PLE.lastrow)-ROW(PLE.firstrow))),0,IF(OFFSET(PLE!$G$14,$M74,AZ$13)="",10^12,OFFSET(PLE!$G$14,$M74,AZ$13))))</f>
        <v>1000000000000</v>
      </c>
      <c r="BA74" s="216">
        <f ca="1">IF($D74&lt;&gt;"Serviço",0,IF(OR(AND(AUTOEVENTO="Manual",$M74=1),$M74&gt;(ROW(PLE.lastrow)-ROW(PLE.firstrow))),0,IF(OFFSET(PLE!$G$14,$M74,BA$13)="",10^12,OFFSET(PLE!$G$14,$M74,BA$13))))</f>
        <v>1000000000000</v>
      </c>
      <c r="BB74" s="216">
        <f ca="1">IF($D74&lt;&gt;"Serviço",0,IF(OR(AND(AUTOEVENTO="Manual",$M74=1),$M74&gt;(ROW(PLE.lastrow)-ROW(PLE.firstrow))),0,IF(OFFSET(PLE!$G$14,$M74,BB$13)="",10^12,OFFSET(PLE!$G$14,$M74,BB$13))))</f>
        <v>1000000000000</v>
      </c>
      <c r="BC74" s="216">
        <f ca="1">IF($D74&lt;&gt;"Serviço",0,IF(OR(AND(AUTOEVENTO="Manual",$M74=1),$M74&gt;(ROW(PLE.lastrow)-ROW(PLE.firstrow))),0,IF(OFFSET(PLE!$G$14,$M74,BC$13)="",10^12,OFFSET(PLE!$G$14,$M74,BC$13))))</f>
        <v>1000000000000</v>
      </c>
      <c r="BD74" s="216">
        <f ca="1">IF($D74&lt;&gt;"Serviço",0,IF(OR(AND(AUTOEVENTO="Manual",$M74=1),$M74&gt;(ROW(PLE.lastrow)-ROW(PLE.firstrow))),0,IF(OFFSET(PLE!$G$14,$M74,BD$13)="",10^12,OFFSET(PLE!$G$14,$M74,BD$13))))</f>
        <v>1000000000000</v>
      </c>
      <c r="BE74" s="216">
        <f ca="1">IF($D74&lt;&gt;"Serviço",0,IF(OR(AND(AUTOEVENTO="Manual",$M74=1),$M74&gt;(ROW(PLE.lastrow)-ROW(PLE.firstrow))),0,IF(OFFSET(PLE!$G$14,$M74,BE$13)="",10^12,OFFSET(PLE!$G$14,$M74,BE$13))))</f>
        <v>1000000000000</v>
      </c>
      <c r="BF74" s="216">
        <f ca="1">IF($D74&lt;&gt;"Serviço",0,IF(OR(AND(AUTOEVENTO="Manual",$M74=1),$M74&gt;(ROW(PLE.lastrow)-ROW(PLE.firstrow))),0,IF(OFFSET(PLE!$G$14,$M74,BF$13)="",10^12,OFFSET(PLE!$G$14,$M74,BF$13))))</f>
        <v>1000000000000</v>
      </c>
      <c r="BG74" s="216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9" t="str">
        <f t="shared" ca="1" si="8"/>
        <v>37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5" t="str">
        <f ca="1">OFFSET(ORÇAMENTO!N$15,ROW(D75)-ROW(D$15),0)</f>
        <v>Serviço</v>
      </c>
      <c r="E75" s="205" t="str">
        <f ca="1">OFFSET(ORÇAMENTO!O$15,ROW(E75)-ROW(E$15),0)</f>
        <v>-</v>
      </c>
      <c r="F75" s="206" t="str">
        <f ca="1">OFFSET(ORÇAMENTO!R$15,ROW(F75)-ROW(F$15),0)</f>
        <v>(abra o arquivo 'Referência 05-2023.xls)</v>
      </c>
      <c r="G75" s="207" t="str">
        <f ca="1">IF($D75&lt;&gt;"Serviço","",OFFSET(ORÇAMENTO!S$15,ROW(G75)-ROW(G$15),0))</f>
        <v>-</v>
      </c>
      <c r="H75" s="151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1"/>
      <c r="K75" s="208"/>
      <c r="L75" s="209" t="s">
        <v>254</v>
      </c>
      <c r="M75" s="210">
        <f ca="1">IF($D75&lt;&gt;"Serviço","",IF(AUTOEVENTO="manual",$A75,IF(ISERROR(MATCH($A75,$A$15:OFFSET($A75,-1,0),0)),MAX($M$15:OFFSET(M75,-1,0))+1,INDEX($M$15:OFFSET(M75,-1,0),MATCH($A75,$A$15:OFFSET($A75,-1,0),0)))))</f>
        <v>5</v>
      </c>
      <c r="N75" s="211" t="str">
        <f ca="1">IF($D75&lt;&gt;"Serviço","",IF(AUTOEVENTO="Manual",IF($A75=0,"&lt;-- defina o número do agrupador",OFFSET(EVENTOS!$D$14,$A75,0)),OFFSET($F$15,$A75,0)))</f>
        <v>PINTURAS E TEXTURAS</v>
      </c>
      <c r="O75" s="212"/>
      <c r="Q75" s="212"/>
      <c r="R75" s="213"/>
      <c r="S75" s="213"/>
      <c r="T75" s="213"/>
      <c r="U75" s="213"/>
      <c r="V75" s="213"/>
      <c r="W75" s="213"/>
      <c r="X75" s="213"/>
      <c r="Y75" s="213"/>
      <c r="Z75" s="214"/>
      <c r="AB75" s="592">
        <f ca="1">IF(AND($D75="Serviço",AB$12&lt;&gt;0,$H75&gt;0,OR(AUTOEVENTO&lt;&gt;"manual",$M75&lt;&gt;1)),ROUND(OFFSET($P75,0,AB$13),15-13*ORÇAMENTO!$AF$7)/$H75*OFFSET(ORÇAMENTO!$X$15,ROW(AB75)-ROW(AB$15),0),0)</f>
        <v>0</v>
      </c>
      <c r="AC75" s="593">
        <f ca="1">IF(AND($D75="Serviço",AC$12&lt;&gt;0,$H75&gt;0,OR(AUTOEVENTO&lt;&gt;"manual",$M75&lt;&gt;1)),ROUND(OFFSET($P75,0,AC$13),15-13*ORÇAMENTO!$AF$7)/$H75*OFFSET(ORÇAMENTO!$X$15,ROW(AC75)-ROW(AC$15),0),0)</f>
        <v>0</v>
      </c>
      <c r="AD75" s="593">
        <f ca="1">IF(AND($D75="Serviço",AD$12&lt;&gt;0,$H75&gt;0,OR(AUTOEVENTO&lt;&gt;"manual",$M75&lt;&gt;1)),ROUND(OFFSET($P75,0,AD$13),15-13*ORÇAMENTO!$AF$7)/$H75*OFFSET(ORÇAMENTO!$X$15,ROW(AD75)-ROW(AD$15),0),0)</f>
        <v>0</v>
      </c>
      <c r="AE75" s="593">
        <f ca="1">IF(AND($D75="Serviço",AE$12&lt;&gt;0,$H75&gt;0,OR(AUTOEVENTO&lt;&gt;"manual",$M75&lt;&gt;1)),ROUND(OFFSET($P75,0,AE$13),15-13*ORÇAMENTO!$AF$7)/$H75*OFFSET(ORÇAMENTO!$X$15,ROW(AE75)-ROW(AE$15),0),0)</f>
        <v>0</v>
      </c>
      <c r="AF75" s="593">
        <f ca="1">IF(AND($D75="Serviço",AF$12&lt;&gt;0,$H75&gt;0,OR(AUTOEVENTO&lt;&gt;"manual",$M75&lt;&gt;1)),ROUND(OFFSET($P75,0,AF$13),15-13*ORÇAMENTO!$AF$7)/$H75*OFFSET(ORÇAMENTO!$X$15,ROW(AF75)-ROW(AF$15),0),0)</f>
        <v>0</v>
      </c>
      <c r="AG75" s="593">
        <f ca="1">IF(AND($D75="Serviço",AG$12&lt;&gt;0,$H75&gt;0,OR(AUTOEVENTO&lt;&gt;"manual",$M75&lt;&gt;1)),ROUND(OFFSET($P75,0,AG$13),15-13*ORÇAMENTO!$AF$7)/$H75*OFFSET(ORÇAMENTO!$X$15,ROW(AG75)-ROW(AG$15),0),0)</f>
        <v>0</v>
      </c>
      <c r="AH75" s="593">
        <f ca="1">IF(AND($D75="Serviço",AH$12&lt;&gt;0,$H75&gt;0,OR(AUTOEVENTO&lt;&gt;"manual",$M75&lt;&gt;1)),ROUND(OFFSET($P75,0,AH$13),15-13*ORÇAMENTO!$AF$7)/$H75*OFFSET(ORÇAMENTO!$X$15,ROW(AH75)-ROW(AH$15),0),0)</f>
        <v>0</v>
      </c>
      <c r="AI75" s="593">
        <f ca="1">IF(AND($D75="Serviço",AI$12&lt;&gt;0,$H75&gt;0,OR(AUTOEVENTO&lt;&gt;"manual",$M75&lt;&gt;1)),ROUND(OFFSET($P75,0,AI$13),15-13*ORÇAMENTO!$AF$7)/$H75*OFFSET(ORÇAMENTO!$X$15,ROW(AI75)-ROW(AI$15),0),0)</f>
        <v>0</v>
      </c>
      <c r="AJ75" s="593">
        <f ca="1">IF(AND($D75="Serviço",AJ$12&lt;&gt;0,$H75&gt;0,OR(AUTOEVENTO&lt;&gt;"manual",$M75&lt;&gt;1)),ROUND(OFFSET($P75,0,AJ$13),15-13*ORÇAMENTO!$AF$7)/$H75*OFFSET(ORÇAMENTO!$X$15,ROW(AJ75)-ROW(AJ$15),0),0)</f>
        <v>0</v>
      </c>
      <c r="AK75" s="594">
        <f ca="1">IF(AND($D75="Serviço",AK$12&lt;&gt;0,$H75&gt;0,OR(AUTOEVENTO&lt;&gt;"manual",$M75&lt;&gt;1)),ROUND(OFFSET($P75,0,AK$13),15-13*ORÇAMENTO!$AF$7)/$H75*OFFSET(ORÇAMENTO!$X$15,ROW(AK75)-ROW(AK$15),0),0)</f>
        <v>0</v>
      </c>
      <c r="AM75" s="215">
        <f ca="1">IF($D75&lt;&gt;"Serviço",0,IF(AND(AUTOEVENTO="Manual",$M75=1),0,IF(OFFSET(CRONOPLE!$F$14,$M75,AM$13)="",10^12,OFFSET(CRONOPLE!$F$14,$M75,AM$13))))</f>
        <v>2</v>
      </c>
      <c r="AN75" s="215">
        <f ca="1">IF($D75&lt;&gt;"Serviço",0,IF(AND(AUTOEVENTO="Manual",$M75=1),0,IF(OFFSET(CRONOPLE!$F$14,$M75,AN$13)="",10^12,OFFSET(CRONOPLE!$F$14,$M75,AN$13))))</f>
        <v>2</v>
      </c>
      <c r="AO75" s="215">
        <f ca="1">IF($D75&lt;&gt;"Serviço",0,IF(AND(AUTOEVENTO="Manual",$M75=1),0,IF(OFFSET(CRONOPLE!$F$14,$M75,AO$13)="",10^12,OFFSET(CRONOPLE!$F$14,$M75,AO$13))))</f>
        <v>3</v>
      </c>
      <c r="AP75" s="215">
        <f ca="1">IF($D75&lt;&gt;"Serviço",0,IF(AND(AUTOEVENTO="Manual",$M75=1),0,IF(OFFSET(CRONOPLE!$F$14,$M75,AP$13)="",10^12,OFFSET(CRONOPLE!$F$14,$M75,AP$13))))</f>
        <v>1000000000000</v>
      </c>
      <c r="AQ75" s="215">
        <f ca="1">IF($D75&lt;&gt;"Serviço",0,IF(AND(AUTOEVENTO="Manual",$M75=1),0,IF(OFFSET(CRONOPLE!$F$14,$M75,AQ$13)="",10^12,OFFSET(CRONOPLE!$F$14,$M75,AQ$13))))</f>
        <v>1000000000000</v>
      </c>
      <c r="AR75" s="215">
        <f ca="1">IF($D75&lt;&gt;"Serviço",0,IF(AND(AUTOEVENTO="Manual",$M75=1),0,IF(OFFSET(CRONOPLE!$F$14,$M75,AR$13)="",10^12,OFFSET(CRONOPLE!$F$14,$M75,AR$13))))</f>
        <v>1000000000000</v>
      </c>
      <c r="AS75" s="215">
        <f ca="1">IF($D75&lt;&gt;"Serviço",0,IF(AND(AUTOEVENTO="Manual",$M75=1),0,IF(OFFSET(CRONOPLE!$F$14,$M75,AS$13)="",10^12,OFFSET(CRONOPLE!$F$14,$M75,AS$13))))</f>
        <v>1000000000000</v>
      </c>
      <c r="AT75" s="215">
        <f ca="1">IF($D75&lt;&gt;"Serviço",0,IF(AND(AUTOEVENTO="Manual",$M75=1),0,IF(OFFSET(CRONOPLE!$F$14,$M75,AT$13)="",10^12,OFFSET(CRONOPLE!$F$14,$M75,AT$13))))</f>
        <v>1000000000000</v>
      </c>
      <c r="AU75" s="215">
        <f ca="1">IF($D75&lt;&gt;"Serviço",0,IF(AND(AUTOEVENTO="Manual",$M75=1),0,IF(OFFSET(CRONOPLE!$F$14,$M75,AU$13)="",10^12,OFFSET(CRONOPLE!$F$14,$M75,AU$13))))</f>
        <v>1000000000000</v>
      </c>
      <c r="AV75" s="215">
        <f ca="1">IF($D75&lt;&gt;"Serviço",0,IF(AND(AUTOEVENTO="Manual",$M75=1),0,IF(OFFSET(CRONOPLE!$F$14,$M75,AV$13)="",10^12,OFFSET(CRONOPLE!$F$14,$M75,AV$13))))</f>
        <v>1000000000000</v>
      </c>
      <c r="AX75" s="216">
        <f ca="1">IF($D75&lt;&gt;"Serviço",0,IF(OR(AND(AUTOEVENTO="Manual",$M75=1),$M75&gt;(ROW(PLE.lastrow)-ROW(PLE.firstrow))),0,IF(OFFSET(PLE!$G$14,$M75,AX$13)="",10^12,OFFSET(PLE!$G$14,$M75,AX$13))))</f>
        <v>1000000000000</v>
      </c>
      <c r="AY75" s="216">
        <f ca="1">IF($D75&lt;&gt;"Serviço",0,IF(OR(AND(AUTOEVENTO="Manual",$M75=1),$M75&gt;(ROW(PLE.lastrow)-ROW(PLE.firstrow))),0,IF(OFFSET(PLE!$G$14,$M75,AY$13)="",10^12,OFFSET(PLE!$G$14,$M75,AY$13))))</f>
        <v>1000000000000</v>
      </c>
      <c r="AZ75" s="216">
        <f ca="1">IF($D75&lt;&gt;"Serviço",0,IF(OR(AND(AUTOEVENTO="Manual",$M75=1),$M75&gt;(ROW(PLE.lastrow)-ROW(PLE.firstrow))),0,IF(OFFSET(PLE!$G$14,$M75,AZ$13)="",10^12,OFFSET(PLE!$G$14,$M75,AZ$13))))</f>
        <v>1000000000000</v>
      </c>
      <c r="BA75" s="216">
        <f ca="1">IF($D75&lt;&gt;"Serviço",0,IF(OR(AND(AUTOEVENTO="Manual",$M75=1),$M75&gt;(ROW(PLE.lastrow)-ROW(PLE.firstrow))),0,IF(OFFSET(PLE!$G$14,$M75,BA$13)="",10^12,OFFSET(PLE!$G$14,$M75,BA$13))))</f>
        <v>1000000000000</v>
      </c>
      <c r="BB75" s="216">
        <f ca="1">IF($D75&lt;&gt;"Serviço",0,IF(OR(AND(AUTOEVENTO="Manual",$M75=1),$M75&gt;(ROW(PLE.lastrow)-ROW(PLE.firstrow))),0,IF(OFFSET(PLE!$G$14,$M75,BB$13)="",10^12,OFFSET(PLE!$G$14,$M75,BB$13))))</f>
        <v>1000000000000</v>
      </c>
      <c r="BC75" s="216">
        <f ca="1">IF($D75&lt;&gt;"Serviço",0,IF(OR(AND(AUTOEVENTO="Manual",$M75=1),$M75&gt;(ROW(PLE.lastrow)-ROW(PLE.firstrow))),0,IF(OFFSET(PLE!$G$14,$M75,BC$13)="",10^12,OFFSET(PLE!$G$14,$M75,BC$13))))</f>
        <v>1000000000000</v>
      </c>
      <c r="BD75" s="216">
        <f ca="1">IF($D75&lt;&gt;"Serviço",0,IF(OR(AND(AUTOEVENTO="Manual",$M75=1),$M75&gt;(ROW(PLE.lastrow)-ROW(PLE.firstrow))),0,IF(OFFSET(PLE!$G$14,$M75,BD$13)="",10^12,OFFSET(PLE!$G$14,$M75,BD$13))))</f>
        <v>1000000000000</v>
      </c>
      <c r="BE75" s="216">
        <f ca="1">IF($D75&lt;&gt;"Serviço",0,IF(OR(AND(AUTOEVENTO="Manual",$M75=1),$M75&gt;(ROW(PLE.lastrow)-ROW(PLE.firstrow))),0,IF(OFFSET(PLE!$G$14,$M75,BE$13)="",10^12,OFFSET(PLE!$G$14,$M75,BE$13))))</f>
        <v>1000000000000</v>
      </c>
      <c r="BF75" s="216">
        <f ca="1">IF($D75&lt;&gt;"Serviço",0,IF(OR(AND(AUTOEVENTO="Manual",$M75=1),$M75&gt;(ROW(PLE.lastrow)-ROW(PLE.firstrow))),0,IF(OFFSET(PLE!$G$14,$M75,BF$13)="",10^12,OFFSET(PLE!$G$14,$M75,BF$13))))</f>
        <v>1000000000000</v>
      </c>
      <c r="BG75" s="216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x14ac:dyDescent="0.2">
      <c r="A76" s="9" t="str">
        <f t="shared" ca="1" si="8"/>
        <v>37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5" t="str">
        <f ca="1">OFFSET(ORÇAMENTO!N$15,ROW(D76)-ROW(D$15),0)</f>
        <v>Serviço</v>
      </c>
      <c r="E76" s="205" t="str">
        <f ca="1">OFFSET(ORÇAMENTO!O$15,ROW(E76)-ROW(E$15),0)</f>
        <v>-</v>
      </c>
      <c r="F76" s="206" t="str">
        <f ca="1">OFFSET(ORÇAMENTO!R$15,ROW(F76)-ROW(F$15),0)</f>
        <v>(abra o arquivo 'Referência 05-2023.xls)</v>
      </c>
      <c r="G76" s="207" t="str">
        <f ca="1">IF($D76&lt;&gt;"Serviço","",OFFSET(ORÇAMENTO!S$15,ROW(G76)-ROW(G$15),0))</f>
        <v>-</v>
      </c>
      <c r="H76" s="151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1"/>
      <c r="K76" s="208"/>
      <c r="L76" s="209" t="s">
        <v>254</v>
      </c>
      <c r="M76" s="210">
        <f ca="1">IF($D76&lt;&gt;"Serviço","",IF(AUTOEVENTO="manual",$A76,IF(ISERROR(MATCH($A76,$A$15:OFFSET($A76,-1,0),0)),MAX($M$15:OFFSET(M76,-1,0))+1,INDEX($M$15:OFFSET(M76,-1,0),MATCH($A76,$A$15:OFFSET($A76,-1,0),0)))))</f>
        <v>5</v>
      </c>
      <c r="N76" s="211" t="str">
        <f ca="1">IF($D76&lt;&gt;"Serviço","",IF(AUTOEVENTO="Manual",IF($A76=0,"&lt;-- defina o número do agrupador",OFFSET(EVENTOS!$D$14,$A76,0)),OFFSET($F$15,$A76,0)))</f>
        <v>PINTURAS E TEXTURAS</v>
      </c>
      <c r="O76" s="212"/>
      <c r="Q76" s="212"/>
      <c r="R76" s="213"/>
      <c r="S76" s="213"/>
      <c r="T76" s="213"/>
      <c r="U76" s="213"/>
      <c r="V76" s="213"/>
      <c r="W76" s="213"/>
      <c r="X76" s="213"/>
      <c r="Y76" s="213"/>
      <c r="Z76" s="214"/>
      <c r="AB76" s="592">
        <f ca="1">IF(AND($D76="Serviço",AB$12&lt;&gt;0,$H76&gt;0,OR(AUTOEVENTO&lt;&gt;"manual",$M76&lt;&gt;1)),ROUND(OFFSET($P76,0,AB$13),15-13*ORÇAMENTO!$AF$7)/$H76*OFFSET(ORÇAMENTO!$X$15,ROW(AB76)-ROW(AB$15),0),0)</f>
        <v>0</v>
      </c>
      <c r="AC76" s="593">
        <f ca="1">IF(AND($D76="Serviço",AC$12&lt;&gt;0,$H76&gt;0,OR(AUTOEVENTO&lt;&gt;"manual",$M76&lt;&gt;1)),ROUND(OFFSET($P76,0,AC$13),15-13*ORÇAMENTO!$AF$7)/$H76*OFFSET(ORÇAMENTO!$X$15,ROW(AC76)-ROW(AC$15),0),0)</f>
        <v>0</v>
      </c>
      <c r="AD76" s="593">
        <f ca="1">IF(AND($D76="Serviço",AD$12&lt;&gt;0,$H76&gt;0,OR(AUTOEVENTO&lt;&gt;"manual",$M76&lt;&gt;1)),ROUND(OFFSET($P76,0,AD$13),15-13*ORÇAMENTO!$AF$7)/$H76*OFFSET(ORÇAMENTO!$X$15,ROW(AD76)-ROW(AD$15),0),0)</f>
        <v>0</v>
      </c>
      <c r="AE76" s="593">
        <f ca="1">IF(AND($D76="Serviço",AE$12&lt;&gt;0,$H76&gt;0,OR(AUTOEVENTO&lt;&gt;"manual",$M76&lt;&gt;1)),ROUND(OFFSET($P76,0,AE$13),15-13*ORÇAMENTO!$AF$7)/$H76*OFFSET(ORÇAMENTO!$X$15,ROW(AE76)-ROW(AE$15),0),0)</f>
        <v>0</v>
      </c>
      <c r="AF76" s="593">
        <f ca="1">IF(AND($D76="Serviço",AF$12&lt;&gt;0,$H76&gt;0,OR(AUTOEVENTO&lt;&gt;"manual",$M76&lt;&gt;1)),ROUND(OFFSET($P76,0,AF$13),15-13*ORÇAMENTO!$AF$7)/$H76*OFFSET(ORÇAMENTO!$X$15,ROW(AF76)-ROW(AF$15),0),0)</f>
        <v>0</v>
      </c>
      <c r="AG76" s="593">
        <f ca="1">IF(AND($D76="Serviço",AG$12&lt;&gt;0,$H76&gt;0,OR(AUTOEVENTO&lt;&gt;"manual",$M76&lt;&gt;1)),ROUND(OFFSET($P76,0,AG$13),15-13*ORÇAMENTO!$AF$7)/$H76*OFFSET(ORÇAMENTO!$X$15,ROW(AG76)-ROW(AG$15),0),0)</f>
        <v>0</v>
      </c>
      <c r="AH76" s="593">
        <f ca="1">IF(AND($D76="Serviço",AH$12&lt;&gt;0,$H76&gt;0,OR(AUTOEVENTO&lt;&gt;"manual",$M76&lt;&gt;1)),ROUND(OFFSET($P76,0,AH$13),15-13*ORÇAMENTO!$AF$7)/$H76*OFFSET(ORÇAMENTO!$X$15,ROW(AH76)-ROW(AH$15),0),0)</f>
        <v>0</v>
      </c>
      <c r="AI76" s="593">
        <f ca="1">IF(AND($D76="Serviço",AI$12&lt;&gt;0,$H76&gt;0,OR(AUTOEVENTO&lt;&gt;"manual",$M76&lt;&gt;1)),ROUND(OFFSET($P76,0,AI$13),15-13*ORÇAMENTO!$AF$7)/$H76*OFFSET(ORÇAMENTO!$X$15,ROW(AI76)-ROW(AI$15),0),0)</f>
        <v>0</v>
      </c>
      <c r="AJ76" s="593">
        <f ca="1">IF(AND($D76="Serviço",AJ$12&lt;&gt;0,$H76&gt;0,OR(AUTOEVENTO&lt;&gt;"manual",$M76&lt;&gt;1)),ROUND(OFFSET($P76,0,AJ$13),15-13*ORÇAMENTO!$AF$7)/$H76*OFFSET(ORÇAMENTO!$X$15,ROW(AJ76)-ROW(AJ$15),0),0)</f>
        <v>0</v>
      </c>
      <c r="AK76" s="594">
        <f ca="1">IF(AND($D76="Serviço",AK$12&lt;&gt;0,$H76&gt;0,OR(AUTOEVENTO&lt;&gt;"manual",$M76&lt;&gt;1)),ROUND(OFFSET($P76,0,AK$13),15-13*ORÇAMENTO!$AF$7)/$H76*OFFSET(ORÇAMENTO!$X$15,ROW(AK76)-ROW(AK$15),0),0)</f>
        <v>0</v>
      </c>
      <c r="AM76" s="215">
        <f ca="1">IF($D76&lt;&gt;"Serviço",0,IF(AND(AUTOEVENTO="Manual",$M76=1),0,IF(OFFSET(CRONOPLE!$F$14,$M76,AM$13)="",10^12,OFFSET(CRONOPLE!$F$14,$M76,AM$13))))</f>
        <v>2</v>
      </c>
      <c r="AN76" s="215">
        <f ca="1">IF($D76&lt;&gt;"Serviço",0,IF(AND(AUTOEVENTO="Manual",$M76=1),0,IF(OFFSET(CRONOPLE!$F$14,$M76,AN$13)="",10^12,OFFSET(CRONOPLE!$F$14,$M76,AN$13))))</f>
        <v>2</v>
      </c>
      <c r="AO76" s="215">
        <f ca="1">IF($D76&lt;&gt;"Serviço",0,IF(AND(AUTOEVENTO="Manual",$M76=1),0,IF(OFFSET(CRONOPLE!$F$14,$M76,AO$13)="",10^12,OFFSET(CRONOPLE!$F$14,$M76,AO$13))))</f>
        <v>3</v>
      </c>
      <c r="AP76" s="215">
        <f ca="1">IF($D76&lt;&gt;"Serviço",0,IF(AND(AUTOEVENTO="Manual",$M76=1),0,IF(OFFSET(CRONOPLE!$F$14,$M76,AP$13)="",10^12,OFFSET(CRONOPLE!$F$14,$M76,AP$13))))</f>
        <v>1000000000000</v>
      </c>
      <c r="AQ76" s="215">
        <f ca="1">IF($D76&lt;&gt;"Serviço",0,IF(AND(AUTOEVENTO="Manual",$M76=1),0,IF(OFFSET(CRONOPLE!$F$14,$M76,AQ$13)="",10^12,OFFSET(CRONOPLE!$F$14,$M76,AQ$13))))</f>
        <v>1000000000000</v>
      </c>
      <c r="AR76" s="215">
        <f ca="1">IF($D76&lt;&gt;"Serviço",0,IF(AND(AUTOEVENTO="Manual",$M76=1),0,IF(OFFSET(CRONOPLE!$F$14,$M76,AR$13)="",10^12,OFFSET(CRONOPLE!$F$14,$M76,AR$13))))</f>
        <v>1000000000000</v>
      </c>
      <c r="AS76" s="215">
        <f ca="1">IF($D76&lt;&gt;"Serviço",0,IF(AND(AUTOEVENTO="Manual",$M76=1),0,IF(OFFSET(CRONOPLE!$F$14,$M76,AS$13)="",10^12,OFFSET(CRONOPLE!$F$14,$M76,AS$13))))</f>
        <v>1000000000000</v>
      </c>
      <c r="AT76" s="215">
        <f ca="1">IF($D76&lt;&gt;"Serviço",0,IF(AND(AUTOEVENTO="Manual",$M76=1),0,IF(OFFSET(CRONOPLE!$F$14,$M76,AT$13)="",10^12,OFFSET(CRONOPLE!$F$14,$M76,AT$13))))</f>
        <v>1000000000000</v>
      </c>
      <c r="AU76" s="215">
        <f ca="1">IF($D76&lt;&gt;"Serviço",0,IF(AND(AUTOEVENTO="Manual",$M76=1),0,IF(OFFSET(CRONOPLE!$F$14,$M76,AU$13)="",10^12,OFFSET(CRONOPLE!$F$14,$M76,AU$13))))</f>
        <v>1000000000000</v>
      </c>
      <c r="AV76" s="215">
        <f ca="1">IF($D76&lt;&gt;"Serviço",0,IF(AND(AUTOEVENTO="Manual",$M76=1),0,IF(OFFSET(CRONOPLE!$F$14,$M76,AV$13)="",10^12,OFFSET(CRONOPLE!$F$14,$M76,AV$13))))</f>
        <v>1000000000000</v>
      </c>
      <c r="AX76" s="216">
        <f ca="1">IF($D76&lt;&gt;"Serviço",0,IF(OR(AND(AUTOEVENTO="Manual",$M76=1),$M76&gt;(ROW(PLE.lastrow)-ROW(PLE.firstrow))),0,IF(OFFSET(PLE!$G$14,$M76,AX$13)="",10^12,OFFSET(PLE!$G$14,$M76,AX$13))))</f>
        <v>1000000000000</v>
      </c>
      <c r="AY76" s="216">
        <f ca="1">IF($D76&lt;&gt;"Serviço",0,IF(OR(AND(AUTOEVENTO="Manual",$M76=1),$M76&gt;(ROW(PLE.lastrow)-ROW(PLE.firstrow))),0,IF(OFFSET(PLE!$G$14,$M76,AY$13)="",10^12,OFFSET(PLE!$G$14,$M76,AY$13))))</f>
        <v>1000000000000</v>
      </c>
      <c r="AZ76" s="216">
        <f ca="1">IF($D76&lt;&gt;"Serviço",0,IF(OR(AND(AUTOEVENTO="Manual",$M76=1),$M76&gt;(ROW(PLE.lastrow)-ROW(PLE.firstrow))),0,IF(OFFSET(PLE!$G$14,$M76,AZ$13)="",10^12,OFFSET(PLE!$G$14,$M76,AZ$13))))</f>
        <v>1000000000000</v>
      </c>
      <c r="BA76" s="216">
        <f ca="1">IF($D76&lt;&gt;"Serviço",0,IF(OR(AND(AUTOEVENTO="Manual",$M76=1),$M76&gt;(ROW(PLE.lastrow)-ROW(PLE.firstrow))),0,IF(OFFSET(PLE!$G$14,$M76,BA$13)="",10^12,OFFSET(PLE!$G$14,$M76,BA$13))))</f>
        <v>1000000000000</v>
      </c>
      <c r="BB76" s="216">
        <f ca="1">IF($D76&lt;&gt;"Serviço",0,IF(OR(AND(AUTOEVENTO="Manual",$M76=1),$M76&gt;(ROW(PLE.lastrow)-ROW(PLE.firstrow))),0,IF(OFFSET(PLE!$G$14,$M76,BB$13)="",10^12,OFFSET(PLE!$G$14,$M76,BB$13))))</f>
        <v>1000000000000</v>
      </c>
      <c r="BC76" s="216">
        <f ca="1">IF($D76&lt;&gt;"Serviço",0,IF(OR(AND(AUTOEVENTO="Manual",$M76=1),$M76&gt;(ROW(PLE.lastrow)-ROW(PLE.firstrow))),0,IF(OFFSET(PLE!$G$14,$M76,BC$13)="",10^12,OFFSET(PLE!$G$14,$M76,BC$13))))</f>
        <v>1000000000000</v>
      </c>
      <c r="BD76" s="216">
        <f ca="1">IF($D76&lt;&gt;"Serviço",0,IF(OR(AND(AUTOEVENTO="Manual",$M76=1),$M76&gt;(ROW(PLE.lastrow)-ROW(PLE.firstrow))),0,IF(OFFSET(PLE!$G$14,$M76,BD$13)="",10^12,OFFSET(PLE!$G$14,$M76,BD$13))))</f>
        <v>1000000000000</v>
      </c>
      <c r="BE76" s="216">
        <f ca="1">IF($D76&lt;&gt;"Serviço",0,IF(OR(AND(AUTOEVENTO="Manual",$M76=1),$M76&gt;(ROW(PLE.lastrow)-ROW(PLE.firstrow))),0,IF(OFFSET(PLE!$G$14,$M76,BE$13)="",10^12,OFFSET(PLE!$G$14,$M76,BE$13))))</f>
        <v>1000000000000</v>
      </c>
      <c r="BF76" s="216">
        <f ca="1">IF($D76&lt;&gt;"Serviço",0,IF(OR(AND(AUTOEVENTO="Manual",$M76=1),$M76&gt;(ROW(PLE.lastrow)-ROW(PLE.firstrow))),0,IF(OFFSET(PLE!$G$14,$M76,BF$13)="",10^12,OFFSET(PLE!$G$14,$M76,BF$13))))</f>
        <v>1000000000000</v>
      </c>
      <c r="BG76" s="216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x14ac:dyDescent="0.2">
      <c r="A77" s="9" t="str">
        <f t="shared" ca="1" si="8"/>
        <v>37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5" t="str">
        <f ca="1">OFFSET(ORÇAMENTO!N$15,ROW(D77)-ROW(D$15),0)</f>
        <v>Serviço</v>
      </c>
      <c r="E77" s="205" t="str">
        <f ca="1">OFFSET(ORÇAMENTO!O$15,ROW(E77)-ROW(E$15),0)</f>
        <v>-</v>
      </c>
      <c r="F77" s="206" t="str">
        <f ca="1">OFFSET(ORÇAMENTO!R$15,ROW(F77)-ROW(F$15),0)</f>
        <v>(abra o arquivo 'Referência 05-2023.xls)</v>
      </c>
      <c r="G77" s="207" t="str">
        <f ca="1">IF($D77&lt;&gt;"Serviço","",OFFSET(ORÇAMENTO!S$15,ROW(G77)-ROW(G$15),0))</f>
        <v>-</v>
      </c>
      <c r="H77" s="151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1"/>
      <c r="K77" s="208"/>
      <c r="L77" s="209" t="s">
        <v>254</v>
      </c>
      <c r="M77" s="210">
        <f ca="1">IF($D77&lt;&gt;"Serviço","",IF(AUTOEVENTO="manual",$A77,IF(ISERROR(MATCH($A77,$A$15:OFFSET($A77,-1,0),0)),MAX($M$15:OFFSET(M77,-1,0))+1,INDEX($M$15:OFFSET(M77,-1,0),MATCH($A77,$A$15:OFFSET($A77,-1,0),0)))))</f>
        <v>5</v>
      </c>
      <c r="N77" s="211" t="str">
        <f ca="1">IF($D77&lt;&gt;"Serviço","",IF(AUTOEVENTO="Manual",IF($A77=0,"&lt;-- defina o número do agrupador",OFFSET(EVENTOS!$D$14,$A77,0)),OFFSET($F$15,$A77,0)))</f>
        <v>PINTURAS E TEXTURAS</v>
      </c>
      <c r="O77" s="212"/>
      <c r="Q77" s="212"/>
      <c r="R77" s="213"/>
      <c r="S77" s="213"/>
      <c r="T77" s="213"/>
      <c r="U77" s="213"/>
      <c r="V77" s="213"/>
      <c r="W77" s="213"/>
      <c r="X77" s="213"/>
      <c r="Y77" s="213"/>
      <c r="Z77" s="214"/>
      <c r="AB77" s="592">
        <f ca="1">IF(AND($D77="Serviço",AB$12&lt;&gt;0,$H77&gt;0,OR(AUTOEVENTO&lt;&gt;"manual",$M77&lt;&gt;1)),ROUND(OFFSET($P77,0,AB$13),15-13*ORÇAMENTO!$AF$7)/$H77*OFFSET(ORÇAMENTO!$X$15,ROW(AB77)-ROW(AB$15),0),0)</f>
        <v>0</v>
      </c>
      <c r="AC77" s="593">
        <f ca="1">IF(AND($D77="Serviço",AC$12&lt;&gt;0,$H77&gt;0,OR(AUTOEVENTO&lt;&gt;"manual",$M77&lt;&gt;1)),ROUND(OFFSET($P77,0,AC$13),15-13*ORÇAMENTO!$AF$7)/$H77*OFFSET(ORÇAMENTO!$X$15,ROW(AC77)-ROW(AC$15),0),0)</f>
        <v>0</v>
      </c>
      <c r="AD77" s="593">
        <f ca="1">IF(AND($D77="Serviço",AD$12&lt;&gt;0,$H77&gt;0,OR(AUTOEVENTO&lt;&gt;"manual",$M77&lt;&gt;1)),ROUND(OFFSET($P77,0,AD$13),15-13*ORÇAMENTO!$AF$7)/$H77*OFFSET(ORÇAMENTO!$X$15,ROW(AD77)-ROW(AD$15),0),0)</f>
        <v>0</v>
      </c>
      <c r="AE77" s="593">
        <f ca="1">IF(AND($D77="Serviço",AE$12&lt;&gt;0,$H77&gt;0,OR(AUTOEVENTO&lt;&gt;"manual",$M77&lt;&gt;1)),ROUND(OFFSET($P77,0,AE$13),15-13*ORÇAMENTO!$AF$7)/$H77*OFFSET(ORÇAMENTO!$X$15,ROW(AE77)-ROW(AE$15),0),0)</f>
        <v>0</v>
      </c>
      <c r="AF77" s="593">
        <f ca="1">IF(AND($D77="Serviço",AF$12&lt;&gt;0,$H77&gt;0,OR(AUTOEVENTO&lt;&gt;"manual",$M77&lt;&gt;1)),ROUND(OFFSET($P77,0,AF$13),15-13*ORÇAMENTO!$AF$7)/$H77*OFFSET(ORÇAMENTO!$X$15,ROW(AF77)-ROW(AF$15),0),0)</f>
        <v>0</v>
      </c>
      <c r="AG77" s="593">
        <f ca="1">IF(AND($D77="Serviço",AG$12&lt;&gt;0,$H77&gt;0,OR(AUTOEVENTO&lt;&gt;"manual",$M77&lt;&gt;1)),ROUND(OFFSET($P77,0,AG$13),15-13*ORÇAMENTO!$AF$7)/$H77*OFFSET(ORÇAMENTO!$X$15,ROW(AG77)-ROW(AG$15),0),0)</f>
        <v>0</v>
      </c>
      <c r="AH77" s="593">
        <f ca="1">IF(AND($D77="Serviço",AH$12&lt;&gt;0,$H77&gt;0,OR(AUTOEVENTO&lt;&gt;"manual",$M77&lt;&gt;1)),ROUND(OFFSET($P77,0,AH$13),15-13*ORÇAMENTO!$AF$7)/$H77*OFFSET(ORÇAMENTO!$X$15,ROW(AH77)-ROW(AH$15),0),0)</f>
        <v>0</v>
      </c>
      <c r="AI77" s="593">
        <f ca="1">IF(AND($D77="Serviço",AI$12&lt;&gt;0,$H77&gt;0,OR(AUTOEVENTO&lt;&gt;"manual",$M77&lt;&gt;1)),ROUND(OFFSET($P77,0,AI$13),15-13*ORÇAMENTO!$AF$7)/$H77*OFFSET(ORÇAMENTO!$X$15,ROW(AI77)-ROW(AI$15),0),0)</f>
        <v>0</v>
      </c>
      <c r="AJ77" s="593">
        <f ca="1">IF(AND($D77="Serviço",AJ$12&lt;&gt;0,$H77&gt;0,OR(AUTOEVENTO&lt;&gt;"manual",$M77&lt;&gt;1)),ROUND(OFFSET($P77,0,AJ$13),15-13*ORÇAMENTO!$AF$7)/$H77*OFFSET(ORÇAMENTO!$X$15,ROW(AJ77)-ROW(AJ$15),0),0)</f>
        <v>0</v>
      </c>
      <c r="AK77" s="594">
        <f ca="1">IF(AND($D77="Serviço",AK$12&lt;&gt;0,$H77&gt;0,OR(AUTOEVENTO&lt;&gt;"manual",$M77&lt;&gt;1)),ROUND(OFFSET($P77,0,AK$13),15-13*ORÇAMENTO!$AF$7)/$H77*OFFSET(ORÇAMENTO!$X$15,ROW(AK77)-ROW(AK$15),0),0)</f>
        <v>0</v>
      </c>
      <c r="AM77" s="215">
        <f ca="1">IF($D77&lt;&gt;"Serviço",0,IF(AND(AUTOEVENTO="Manual",$M77=1),0,IF(OFFSET(CRONOPLE!$F$14,$M77,AM$13)="",10^12,OFFSET(CRONOPLE!$F$14,$M77,AM$13))))</f>
        <v>2</v>
      </c>
      <c r="AN77" s="215">
        <f ca="1">IF($D77&lt;&gt;"Serviço",0,IF(AND(AUTOEVENTO="Manual",$M77=1),0,IF(OFFSET(CRONOPLE!$F$14,$M77,AN$13)="",10^12,OFFSET(CRONOPLE!$F$14,$M77,AN$13))))</f>
        <v>2</v>
      </c>
      <c r="AO77" s="215">
        <f ca="1">IF($D77&lt;&gt;"Serviço",0,IF(AND(AUTOEVENTO="Manual",$M77=1),0,IF(OFFSET(CRONOPLE!$F$14,$M77,AO$13)="",10^12,OFFSET(CRONOPLE!$F$14,$M77,AO$13))))</f>
        <v>3</v>
      </c>
      <c r="AP77" s="215">
        <f ca="1">IF($D77&lt;&gt;"Serviço",0,IF(AND(AUTOEVENTO="Manual",$M77=1),0,IF(OFFSET(CRONOPLE!$F$14,$M77,AP$13)="",10^12,OFFSET(CRONOPLE!$F$14,$M77,AP$13))))</f>
        <v>1000000000000</v>
      </c>
      <c r="AQ77" s="215">
        <f ca="1">IF($D77&lt;&gt;"Serviço",0,IF(AND(AUTOEVENTO="Manual",$M77=1),0,IF(OFFSET(CRONOPLE!$F$14,$M77,AQ$13)="",10^12,OFFSET(CRONOPLE!$F$14,$M77,AQ$13))))</f>
        <v>1000000000000</v>
      </c>
      <c r="AR77" s="215">
        <f ca="1">IF($D77&lt;&gt;"Serviço",0,IF(AND(AUTOEVENTO="Manual",$M77=1),0,IF(OFFSET(CRONOPLE!$F$14,$M77,AR$13)="",10^12,OFFSET(CRONOPLE!$F$14,$M77,AR$13))))</f>
        <v>1000000000000</v>
      </c>
      <c r="AS77" s="215">
        <f ca="1">IF($D77&lt;&gt;"Serviço",0,IF(AND(AUTOEVENTO="Manual",$M77=1),0,IF(OFFSET(CRONOPLE!$F$14,$M77,AS$13)="",10^12,OFFSET(CRONOPLE!$F$14,$M77,AS$13))))</f>
        <v>1000000000000</v>
      </c>
      <c r="AT77" s="215">
        <f ca="1">IF($D77&lt;&gt;"Serviço",0,IF(AND(AUTOEVENTO="Manual",$M77=1),0,IF(OFFSET(CRONOPLE!$F$14,$M77,AT$13)="",10^12,OFFSET(CRONOPLE!$F$14,$M77,AT$13))))</f>
        <v>1000000000000</v>
      </c>
      <c r="AU77" s="215">
        <f ca="1">IF($D77&lt;&gt;"Serviço",0,IF(AND(AUTOEVENTO="Manual",$M77=1),0,IF(OFFSET(CRONOPLE!$F$14,$M77,AU$13)="",10^12,OFFSET(CRONOPLE!$F$14,$M77,AU$13))))</f>
        <v>1000000000000</v>
      </c>
      <c r="AV77" s="215">
        <f ca="1">IF($D77&lt;&gt;"Serviço",0,IF(AND(AUTOEVENTO="Manual",$M77=1),0,IF(OFFSET(CRONOPLE!$F$14,$M77,AV$13)="",10^12,OFFSET(CRONOPLE!$F$14,$M77,AV$13))))</f>
        <v>1000000000000</v>
      </c>
      <c r="AX77" s="216">
        <f ca="1">IF($D77&lt;&gt;"Serviço",0,IF(OR(AND(AUTOEVENTO="Manual",$M77=1),$M77&gt;(ROW(PLE.lastrow)-ROW(PLE.firstrow))),0,IF(OFFSET(PLE!$G$14,$M77,AX$13)="",10^12,OFFSET(PLE!$G$14,$M77,AX$13))))</f>
        <v>1000000000000</v>
      </c>
      <c r="AY77" s="216">
        <f ca="1">IF($D77&lt;&gt;"Serviço",0,IF(OR(AND(AUTOEVENTO="Manual",$M77=1),$M77&gt;(ROW(PLE.lastrow)-ROW(PLE.firstrow))),0,IF(OFFSET(PLE!$G$14,$M77,AY$13)="",10^12,OFFSET(PLE!$G$14,$M77,AY$13))))</f>
        <v>1000000000000</v>
      </c>
      <c r="AZ77" s="216">
        <f ca="1">IF($D77&lt;&gt;"Serviço",0,IF(OR(AND(AUTOEVENTO="Manual",$M77=1),$M77&gt;(ROW(PLE.lastrow)-ROW(PLE.firstrow))),0,IF(OFFSET(PLE!$G$14,$M77,AZ$13)="",10^12,OFFSET(PLE!$G$14,$M77,AZ$13))))</f>
        <v>1000000000000</v>
      </c>
      <c r="BA77" s="216">
        <f ca="1">IF($D77&lt;&gt;"Serviço",0,IF(OR(AND(AUTOEVENTO="Manual",$M77=1),$M77&gt;(ROW(PLE.lastrow)-ROW(PLE.firstrow))),0,IF(OFFSET(PLE!$G$14,$M77,BA$13)="",10^12,OFFSET(PLE!$G$14,$M77,BA$13))))</f>
        <v>1000000000000</v>
      </c>
      <c r="BB77" s="216">
        <f ca="1">IF($D77&lt;&gt;"Serviço",0,IF(OR(AND(AUTOEVENTO="Manual",$M77=1),$M77&gt;(ROW(PLE.lastrow)-ROW(PLE.firstrow))),0,IF(OFFSET(PLE!$G$14,$M77,BB$13)="",10^12,OFFSET(PLE!$G$14,$M77,BB$13))))</f>
        <v>1000000000000</v>
      </c>
      <c r="BC77" s="216">
        <f ca="1">IF($D77&lt;&gt;"Serviço",0,IF(OR(AND(AUTOEVENTO="Manual",$M77=1),$M77&gt;(ROW(PLE.lastrow)-ROW(PLE.firstrow))),0,IF(OFFSET(PLE!$G$14,$M77,BC$13)="",10^12,OFFSET(PLE!$G$14,$M77,BC$13))))</f>
        <v>1000000000000</v>
      </c>
      <c r="BD77" s="216">
        <f ca="1">IF($D77&lt;&gt;"Serviço",0,IF(OR(AND(AUTOEVENTO="Manual",$M77=1),$M77&gt;(ROW(PLE.lastrow)-ROW(PLE.firstrow))),0,IF(OFFSET(PLE!$G$14,$M77,BD$13)="",10^12,OFFSET(PLE!$G$14,$M77,BD$13))))</f>
        <v>1000000000000</v>
      </c>
      <c r="BE77" s="216">
        <f ca="1">IF($D77&lt;&gt;"Serviço",0,IF(OR(AND(AUTOEVENTO="Manual",$M77=1),$M77&gt;(ROW(PLE.lastrow)-ROW(PLE.firstrow))),0,IF(OFFSET(PLE!$G$14,$M77,BE$13)="",10^12,OFFSET(PLE!$G$14,$M77,BE$13))))</f>
        <v>1000000000000</v>
      </c>
      <c r="BF77" s="216">
        <f ca="1">IF($D77&lt;&gt;"Serviço",0,IF(OR(AND(AUTOEVENTO="Manual",$M77=1),$M77&gt;(ROW(PLE.lastrow)-ROW(PLE.firstrow))),0,IF(OFFSET(PLE!$G$14,$M77,BF$13)="",10^12,OFFSET(PLE!$G$14,$M77,BF$13))))</f>
        <v>1000000000000</v>
      </c>
      <c r="BG77" s="216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37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5" t="str">
        <f ca="1">OFFSET(ORÇAMENTO!N$15,ROW(D78)-ROW(D$15),0)</f>
        <v>Serviço</v>
      </c>
      <c r="E78" s="205" t="str">
        <f ca="1">OFFSET(ORÇAMENTO!O$15,ROW(E78)-ROW(E$15),0)</f>
        <v>-</v>
      </c>
      <c r="F78" s="206" t="str">
        <f ca="1">OFFSET(ORÇAMENTO!R$15,ROW(F78)-ROW(F$15),0)</f>
        <v>(abra o arquivo 'Referência 05-2023.xls)</v>
      </c>
      <c r="G78" s="207" t="str">
        <f ca="1">IF($D78&lt;&gt;"Serviço","",OFFSET(ORÇAMENTO!S$15,ROW(G78)-ROW(G$15),0))</f>
        <v>-</v>
      </c>
      <c r="H78" s="151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1"/>
      <c r="K78" s="208"/>
      <c r="L78" s="209" t="s">
        <v>254</v>
      </c>
      <c r="M78" s="210">
        <f ca="1">IF($D78&lt;&gt;"Serviço","",IF(AUTOEVENTO="manual",$A78,IF(ISERROR(MATCH($A78,$A$15:OFFSET($A78,-1,0),0)),MAX($M$15:OFFSET(M78,-1,0))+1,INDEX($M$15:OFFSET(M78,-1,0),MATCH($A78,$A$15:OFFSET($A78,-1,0),0)))))</f>
        <v>5</v>
      </c>
      <c r="N78" s="211" t="str">
        <f ca="1">IF($D78&lt;&gt;"Serviço","",IF(AUTOEVENTO="Manual",IF($A78=0,"&lt;-- defina o número do agrupador",OFFSET(EVENTOS!$D$14,$A78,0)),OFFSET($F$15,$A78,0)))</f>
        <v>PINTURAS E TEXTURAS</v>
      </c>
      <c r="O78" s="212"/>
      <c r="Q78" s="212"/>
      <c r="R78" s="213"/>
      <c r="S78" s="213"/>
      <c r="T78" s="213"/>
      <c r="U78" s="213"/>
      <c r="V78" s="213"/>
      <c r="W78" s="213"/>
      <c r="X78" s="213"/>
      <c r="Y78" s="213"/>
      <c r="Z78" s="214"/>
      <c r="AB78" s="592">
        <f ca="1">IF(AND($D78="Serviço",AB$12&lt;&gt;0,$H78&gt;0,OR(AUTOEVENTO&lt;&gt;"manual",$M78&lt;&gt;1)),ROUND(OFFSET($P78,0,AB$13),15-13*ORÇAMENTO!$AF$7)/$H78*OFFSET(ORÇAMENTO!$X$15,ROW(AB78)-ROW(AB$15),0),0)</f>
        <v>0</v>
      </c>
      <c r="AC78" s="593">
        <f ca="1">IF(AND($D78="Serviço",AC$12&lt;&gt;0,$H78&gt;0,OR(AUTOEVENTO&lt;&gt;"manual",$M78&lt;&gt;1)),ROUND(OFFSET($P78,0,AC$13),15-13*ORÇAMENTO!$AF$7)/$H78*OFFSET(ORÇAMENTO!$X$15,ROW(AC78)-ROW(AC$15),0),0)</f>
        <v>0</v>
      </c>
      <c r="AD78" s="593">
        <f ca="1">IF(AND($D78="Serviço",AD$12&lt;&gt;0,$H78&gt;0,OR(AUTOEVENTO&lt;&gt;"manual",$M78&lt;&gt;1)),ROUND(OFFSET($P78,0,AD$13),15-13*ORÇAMENTO!$AF$7)/$H78*OFFSET(ORÇAMENTO!$X$15,ROW(AD78)-ROW(AD$15),0),0)</f>
        <v>0</v>
      </c>
      <c r="AE78" s="593">
        <f ca="1">IF(AND($D78="Serviço",AE$12&lt;&gt;0,$H78&gt;0,OR(AUTOEVENTO&lt;&gt;"manual",$M78&lt;&gt;1)),ROUND(OFFSET($P78,0,AE$13),15-13*ORÇAMENTO!$AF$7)/$H78*OFFSET(ORÇAMENTO!$X$15,ROW(AE78)-ROW(AE$15),0),0)</f>
        <v>0</v>
      </c>
      <c r="AF78" s="593">
        <f ca="1">IF(AND($D78="Serviço",AF$12&lt;&gt;0,$H78&gt;0,OR(AUTOEVENTO&lt;&gt;"manual",$M78&lt;&gt;1)),ROUND(OFFSET($P78,0,AF$13),15-13*ORÇAMENTO!$AF$7)/$H78*OFFSET(ORÇAMENTO!$X$15,ROW(AF78)-ROW(AF$15),0),0)</f>
        <v>0</v>
      </c>
      <c r="AG78" s="593">
        <f ca="1">IF(AND($D78="Serviço",AG$12&lt;&gt;0,$H78&gt;0,OR(AUTOEVENTO&lt;&gt;"manual",$M78&lt;&gt;1)),ROUND(OFFSET($P78,0,AG$13),15-13*ORÇAMENTO!$AF$7)/$H78*OFFSET(ORÇAMENTO!$X$15,ROW(AG78)-ROW(AG$15),0),0)</f>
        <v>0</v>
      </c>
      <c r="AH78" s="593">
        <f ca="1">IF(AND($D78="Serviço",AH$12&lt;&gt;0,$H78&gt;0,OR(AUTOEVENTO&lt;&gt;"manual",$M78&lt;&gt;1)),ROUND(OFFSET($P78,0,AH$13),15-13*ORÇAMENTO!$AF$7)/$H78*OFFSET(ORÇAMENTO!$X$15,ROW(AH78)-ROW(AH$15),0),0)</f>
        <v>0</v>
      </c>
      <c r="AI78" s="593">
        <f ca="1">IF(AND($D78="Serviço",AI$12&lt;&gt;0,$H78&gt;0,OR(AUTOEVENTO&lt;&gt;"manual",$M78&lt;&gt;1)),ROUND(OFFSET($P78,0,AI$13),15-13*ORÇAMENTO!$AF$7)/$H78*OFFSET(ORÇAMENTO!$X$15,ROW(AI78)-ROW(AI$15),0),0)</f>
        <v>0</v>
      </c>
      <c r="AJ78" s="593">
        <f ca="1">IF(AND($D78="Serviço",AJ$12&lt;&gt;0,$H78&gt;0,OR(AUTOEVENTO&lt;&gt;"manual",$M78&lt;&gt;1)),ROUND(OFFSET($P78,0,AJ$13),15-13*ORÇAMENTO!$AF$7)/$H78*OFFSET(ORÇAMENTO!$X$15,ROW(AJ78)-ROW(AJ$15),0),0)</f>
        <v>0</v>
      </c>
      <c r="AK78" s="594">
        <f ca="1">IF(AND($D78="Serviço",AK$12&lt;&gt;0,$H78&gt;0,OR(AUTOEVENTO&lt;&gt;"manual",$M78&lt;&gt;1)),ROUND(OFFSET($P78,0,AK$13),15-13*ORÇAMENTO!$AF$7)/$H78*OFFSET(ORÇAMENTO!$X$15,ROW(AK78)-ROW(AK$15),0),0)</f>
        <v>0</v>
      </c>
      <c r="AM78" s="215">
        <f ca="1">IF($D78&lt;&gt;"Serviço",0,IF(AND(AUTOEVENTO="Manual",$M78=1),0,IF(OFFSET(CRONOPLE!$F$14,$M78,AM$13)="",10^12,OFFSET(CRONOPLE!$F$14,$M78,AM$13))))</f>
        <v>2</v>
      </c>
      <c r="AN78" s="215">
        <f ca="1">IF($D78&lt;&gt;"Serviço",0,IF(AND(AUTOEVENTO="Manual",$M78=1),0,IF(OFFSET(CRONOPLE!$F$14,$M78,AN$13)="",10^12,OFFSET(CRONOPLE!$F$14,$M78,AN$13))))</f>
        <v>2</v>
      </c>
      <c r="AO78" s="215">
        <f ca="1">IF($D78&lt;&gt;"Serviço",0,IF(AND(AUTOEVENTO="Manual",$M78=1),0,IF(OFFSET(CRONOPLE!$F$14,$M78,AO$13)="",10^12,OFFSET(CRONOPLE!$F$14,$M78,AO$13))))</f>
        <v>3</v>
      </c>
      <c r="AP78" s="215">
        <f ca="1">IF($D78&lt;&gt;"Serviço",0,IF(AND(AUTOEVENTO="Manual",$M78=1),0,IF(OFFSET(CRONOPLE!$F$14,$M78,AP$13)="",10^12,OFFSET(CRONOPLE!$F$14,$M78,AP$13))))</f>
        <v>1000000000000</v>
      </c>
      <c r="AQ78" s="215">
        <f ca="1">IF($D78&lt;&gt;"Serviço",0,IF(AND(AUTOEVENTO="Manual",$M78=1),0,IF(OFFSET(CRONOPLE!$F$14,$M78,AQ$13)="",10^12,OFFSET(CRONOPLE!$F$14,$M78,AQ$13))))</f>
        <v>1000000000000</v>
      </c>
      <c r="AR78" s="215">
        <f ca="1">IF($D78&lt;&gt;"Serviço",0,IF(AND(AUTOEVENTO="Manual",$M78=1),0,IF(OFFSET(CRONOPLE!$F$14,$M78,AR$13)="",10^12,OFFSET(CRONOPLE!$F$14,$M78,AR$13))))</f>
        <v>1000000000000</v>
      </c>
      <c r="AS78" s="215">
        <f ca="1">IF($D78&lt;&gt;"Serviço",0,IF(AND(AUTOEVENTO="Manual",$M78=1),0,IF(OFFSET(CRONOPLE!$F$14,$M78,AS$13)="",10^12,OFFSET(CRONOPLE!$F$14,$M78,AS$13))))</f>
        <v>1000000000000</v>
      </c>
      <c r="AT78" s="215">
        <f ca="1">IF($D78&lt;&gt;"Serviço",0,IF(AND(AUTOEVENTO="Manual",$M78=1),0,IF(OFFSET(CRONOPLE!$F$14,$M78,AT$13)="",10^12,OFFSET(CRONOPLE!$F$14,$M78,AT$13))))</f>
        <v>1000000000000</v>
      </c>
      <c r="AU78" s="215">
        <f ca="1">IF($D78&lt;&gt;"Serviço",0,IF(AND(AUTOEVENTO="Manual",$M78=1),0,IF(OFFSET(CRONOPLE!$F$14,$M78,AU$13)="",10^12,OFFSET(CRONOPLE!$F$14,$M78,AU$13))))</f>
        <v>1000000000000</v>
      </c>
      <c r="AV78" s="215">
        <f ca="1">IF($D78&lt;&gt;"Serviço",0,IF(AND(AUTOEVENTO="Manual",$M78=1),0,IF(OFFSET(CRONOPLE!$F$14,$M78,AV$13)="",10^12,OFFSET(CRONOPLE!$F$14,$M78,AV$13))))</f>
        <v>1000000000000</v>
      </c>
      <c r="AX78" s="216">
        <f ca="1">IF($D78&lt;&gt;"Serviço",0,IF(OR(AND(AUTOEVENTO="Manual",$M78=1),$M78&gt;(ROW(PLE.lastrow)-ROW(PLE.firstrow))),0,IF(OFFSET(PLE!$G$14,$M78,AX$13)="",10^12,OFFSET(PLE!$G$14,$M78,AX$13))))</f>
        <v>1000000000000</v>
      </c>
      <c r="AY78" s="216">
        <f ca="1">IF($D78&lt;&gt;"Serviço",0,IF(OR(AND(AUTOEVENTO="Manual",$M78=1),$M78&gt;(ROW(PLE.lastrow)-ROW(PLE.firstrow))),0,IF(OFFSET(PLE!$G$14,$M78,AY$13)="",10^12,OFFSET(PLE!$G$14,$M78,AY$13))))</f>
        <v>1000000000000</v>
      </c>
      <c r="AZ78" s="216">
        <f ca="1">IF($D78&lt;&gt;"Serviço",0,IF(OR(AND(AUTOEVENTO="Manual",$M78=1),$M78&gt;(ROW(PLE.lastrow)-ROW(PLE.firstrow))),0,IF(OFFSET(PLE!$G$14,$M78,AZ$13)="",10^12,OFFSET(PLE!$G$14,$M78,AZ$13))))</f>
        <v>1000000000000</v>
      </c>
      <c r="BA78" s="216">
        <f ca="1">IF($D78&lt;&gt;"Serviço",0,IF(OR(AND(AUTOEVENTO="Manual",$M78=1),$M78&gt;(ROW(PLE.lastrow)-ROW(PLE.firstrow))),0,IF(OFFSET(PLE!$G$14,$M78,BA$13)="",10^12,OFFSET(PLE!$G$14,$M78,BA$13))))</f>
        <v>1000000000000</v>
      </c>
      <c r="BB78" s="216">
        <f ca="1">IF($D78&lt;&gt;"Serviço",0,IF(OR(AND(AUTOEVENTO="Manual",$M78=1),$M78&gt;(ROW(PLE.lastrow)-ROW(PLE.firstrow))),0,IF(OFFSET(PLE!$G$14,$M78,BB$13)="",10^12,OFFSET(PLE!$G$14,$M78,BB$13))))</f>
        <v>1000000000000</v>
      </c>
      <c r="BC78" s="216">
        <f ca="1">IF($D78&lt;&gt;"Serviço",0,IF(OR(AND(AUTOEVENTO="Manual",$M78=1),$M78&gt;(ROW(PLE.lastrow)-ROW(PLE.firstrow))),0,IF(OFFSET(PLE!$G$14,$M78,BC$13)="",10^12,OFFSET(PLE!$G$14,$M78,BC$13))))</f>
        <v>1000000000000</v>
      </c>
      <c r="BD78" s="216">
        <f ca="1">IF($D78&lt;&gt;"Serviço",0,IF(OR(AND(AUTOEVENTO="Manual",$M78=1),$M78&gt;(ROW(PLE.lastrow)-ROW(PLE.firstrow))),0,IF(OFFSET(PLE!$G$14,$M78,BD$13)="",10^12,OFFSET(PLE!$G$14,$M78,BD$13))))</f>
        <v>1000000000000</v>
      </c>
      <c r="BE78" s="216">
        <f ca="1">IF($D78&lt;&gt;"Serviço",0,IF(OR(AND(AUTOEVENTO="Manual",$M78=1),$M78&gt;(ROW(PLE.lastrow)-ROW(PLE.firstrow))),0,IF(OFFSET(PLE!$G$14,$M78,BE$13)="",10^12,OFFSET(PLE!$G$14,$M78,BE$13))))</f>
        <v>1000000000000</v>
      </c>
      <c r="BF78" s="216">
        <f ca="1">IF($D78&lt;&gt;"Serviço",0,IF(OR(AND(AUTOEVENTO="Manual",$M78=1),$M78&gt;(ROW(PLE.lastrow)-ROW(PLE.firstrow))),0,IF(OFFSET(PLE!$G$14,$M78,BF$13)="",10^12,OFFSET(PLE!$G$14,$M78,BF$13))))</f>
        <v>1000000000000</v>
      </c>
      <c r="BG78" s="216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9" t="str">
        <f t="shared" ca="1" si="8"/>
        <v>37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5" t="str">
        <f ca="1">OFFSET(ORÇAMENTO!N$15,ROW(D79)-ROW(D$15),0)</f>
        <v>Serviço</v>
      </c>
      <c r="E79" s="205" t="str">
        <f ca="1">OFFSET(ORÇAMENTO!O$15,ROW(E79)-ROW(E$15),0)</f>
        <v>-</v>
      </c>
      <c r="F79" s="206" t="str">
        <f ca="1">OFFSET(ORÇAMENTO!R$15,ROW(F79)-ROW(F$15),0)</f>
        <v>(abra o arquivo 'Referência 05-2023.xls)</v>
      </c>
      <c r="G79" s="207" t="str">
        <f ca="1">IF($D79&lt;&gt;"Serviço","",OFFSET(ORÇAMENTO!S$15,ROW(G79)-ROW(G$15),0))</f>
        <v>-</v>
      </c>
      <c r="H79" s="151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1"/>
      <c r="K79" s="208"/>
      <c r="L79" s="209" t="s">
        <v>254</v>
      </c>
      <c r="M79" s="210">
        <f ca="1">IF($D79&lt;&gt;"Serviço","",IF(AUTOEVENTO="manual",$A79,IF(ISERROR(MATCH($A79,$A$15:OFFSET($A79,-1,0),0)),MAX($M$15:OFFSET(M79,-1,0))+1,INDEX($M$15:OFFSET(M79,-1,0),MATCH($A79,$A$15:OFFSET($A79,-1,0),0)))))</f>
        <v>5</v>
      </c>
      <c r="N79" s="211" t="str">
        <f ca="1">IF($D79&lt;&gt;"Serviço","",IF(AUTOEVENTO="Manual",IF($A79=0,"&lt;-- defina o número do agrupador",OFFSET(EVENTOS!$D$14,$A79,0)),OFFSET($F$15,$A79,0)))</f>
        <v>PINTURAS E TEXTURAS</v>
      </c>
      <c r="O79" s="212"/>
      <c r="Q79" s="212"/>
      <c r="R79" s="213"/>
      <c r="S79" s="213"/>
      <c r="T79" s="213"/>
      <c r="U79" s="213"/>
      <c r="V79" s="213"/>
      <c r="W79" s="213"/>
      <c r="X79" s="213"/>
      <c r="Y79" s="213"/>
      <c r="Z79" s="214"/>
      <c r="AB79" s="592">
        <f ca="1">IF(AND($D79="Serviço",AB$12&lt;&gt;0,$H79&gt;0,OR(AUTOEVENTO&lt;&gt;"manual",$M79&lt;&gt;1)),ROUND(OFFSET($P79,0,AB$13),15-13*ORÇAMENTO!$AF$7)/$H79*OFFSET(ORÇAMENTO!$X$15,ROW(AB79)-ROW(AB$15),0),0)</f>
        <v>0</v>
      </c>
      <c r="AC79" s="593">
        <f ca="1">IF(AND($D79="Serviço",AC$12&lt;&gt;0,$H79&gt;0,OR(AUTOEVENTO&lt;&gt;"manual",$M79&lt;&gt;1)),ROUND(OFFSET($P79,0,AC$13),15-13*ORÇAMENTO!$AF$7)/$H79*OFFSET(ORÇAMENTO!$X$15,ROW(AC79)-ROW(AC$15),0),0)</f>
        <v>0</v>
      </c>
      <c r="AD79" s="593">
        <f ca="1">IF(AND($D79="Serviço",AD$12&lt;&gt;0,$H79&gt;0,OR(AUTOEVENTO&lt;&gt;"manual",$M79&lt;&gt;1)),ROUND(OFFSET($P79,0,AD$13),15-13*ORÇAMENTO!$AF$7)/$H79*OFFSET(ORÇAMENTO!$X$15,ROW(AD79)-ROW(AD$15),0),0)</f>
        <v>0</v>
      </c>
      <c r="AE79" s="593">
        <f ca="1">IF(AND($D79="Serviço",AE$12&lt;&gt;0,$H79&gt;0,OR(AUTOEVENTO&lt;&gt;"manual",$M79&lt;&gt;1)),ROUND(OFFSET($P79,0,AE$13),15-13*ORÇAMENTO!$AF$7)/$H79*OFFSET(ORÇAMENTO!$X$15,ROW(AE79)-ROW(AE$15),0),0)</f>
        <v>0</v>
      </c>
      <c r="AF79" s="593">
        <f ca="1">IF(AND($D79="Serviço",AF$12&lt;&gt;0,$H79&gt;0,OR(AUTOEVENTO&lt;&gt;"manual",$M79&lt;&gt;1)),ROUND(OFFSET($P79,0,AF$13),15-13*ORÇAMENTO!$AF$7)/$H79*OFFSET(ORÇAMENTO!$X$15,ROW(AF79)-ROW(AF$15),0),0)</f>
        <v>0</v>
      </c>
      <c r="AG79" s="593">
        <f ca="1">IF(AND($D79="Serviço",AG$12&lt;&gt;0,$H79&gt;0,OR(AUTOEVENTO&lt;&gt;"manual",$M79&lt;&gt;1)),ROUND(OFFSET($P79,0,AG$13),15-13*ORÇAMENTO!$AF$7)/$H79*OFFSET(ORÇAMENTO!$X$15,ROW(AG79)-ROW(AG$15),0),0)</f>
        <v>0</v>
      </c>
      <c r="AH79" s="593">
        <f ca="1">IF(AND($D79="Serviço",AH$12&lt;&gt;0,$H79&gt;0,OR(AUTOEVENTO&lt;&gt;"manual",$M79&lt;&gt;1)),ROUND(OFFSET($P79,0,AH$13),15-13*ORÇAMENTO!$AF$7)/$H79*OFFSET(ORÇAMENTO!$X$15,ROW(AH79)-ROW(AH$15),0),0)</f>
        <v>0</v>
      </c>
      <c r="AI79" s="593">
        <f ca="1">IF(AND($D79="Serviço",AI$12&lt;&gt;0,$H79&gt;0,OR(AUTOEVENTO&lt;&gt;"manual",$M79&lt;&gt;1)),ROUND(OFFSET($P79,0,AI$13),15-13*ORÇAMENTO!$AF$7)/$H79*OFFSET(ORÇAMENTO!$X$15,ROW(AI79)-ROW(AI$15),0),0)</f>
        <v>0</v>
      </c>
      <c r="AJ79" s="593">
        <f ca="1">IF(AND($D79="Serviço",AJ$12&lt;&gt;0,$H79&gt;0,OR(AUTOEVENTO&lt;&gt;"manual",$M79&lt;&gt;1)),ROUND(OFFSET($P79,0,AJ$13),15-13*ORÇAMENTO!$AF$7)/$H79*OFFSET(ORÇAMENTO!$X$15,ROW(AJ79)-ROW(AJ$15),0),0)</f>
        <v>0</v>
      </c>
      <c r="AK79" s="594">
        <f ca="1">IF(AND($D79="Serviço",AK$12&lt;&gt;0,$H79&gt;0,OR(AUTOEVENTO&lt;&gt;"manual",$M79&lt;&gt;1)),ROUND(OFFSET($P79,0,AK$13),15-13*ORÇAMENTO!$AF$7)/$H79*OFFSET(ORÇAMENTO!$X$15,ROW(AK79)-ROW(AK$15),0),0)</f>
        <v>0</v>
      </c>
      <c r="AM79" s="215">
        <f ca="1">IF($D79&lt;&gt;"Serviço",0,IF(AND(AUTOEVENTO="Manual",$M79=1),0,IF(OFFSET(CRONOPLE!$F$14,$M79,AM$13)="",10^12,OFFSET(CRONOPLE!$F$14,$M79,AM$13))))</f>
        <v>2</v>
      </c>
      <c r="AN79" s="215">
        <f ca="1">IF($D79&lt;&gt;"Serviço",0,IF(AND(AUTOEVENTO="Manual",$M79=1),0,IF(OFFSET(CRONOPLE!$F$14,$M79,AN$13)="",10^12,OFFSET(CRONOPLE!$F$14,$M79,AN$13))))</f>
        <v>2</v>
      </c>
      <c r="AO79" s="215">
        <f ca="1">IF($D79&lt;&gt;"Serviço",0,IF(AND(AUTOEVENTO="Manual",$M79=1),0,IF(OFFSET(CRONOPLE!$F$14,$M79,AO$13)="",10^12,OFFSET(CRONOPLE!$F$14,$M79,AO$13))))</f>
        <v>3</v>
      </c>
      <c r="AP79" s="215">
        <f ca="1">IF($D79&lt;&gt;"Serviço",0,IF(AND(AUTOEVENTO="Manual",$M79=1),0,IF(OFFSET(CRONOPLE!$F$14,$M79,AP$13)="",10^12,OFFSET(CRONOPLE!$F$14,$M79,AP$13))))</f>
        <v>1000000000000</v>
      </c>
      <c r="AQ79" s="215">
        <f ca="1">IF($D79&lt;&gt;"Serviço",0,IF(AND(AUTOEVENTO="Manual",$M79=1),0,IF(OFFSET(CRONOPLE!$F$14,$M79,AQ$13)="",10^12,OFFSET(CRONOPLE!$F$14,$M79,AQ$13))))</f>
        <v>1000000000000</v>
      </c>
      <c r="AR79" s="215">
        <f ca="1">IF($D79&lt;&gt;"Serviço",0,IF(AND(AUTOEVENTO="Manual",$M79=1),0,IF(OFFSET(CRONOPLE!$F$14,$M79,AR$13)="",10^12,OFFSET(CRONOPLE!$F$14,$M79,AR$13))))</f>
        <v>1000000000000</v>
      </c>
      <c r="AS79" s="215">
        <f ca="1">IF($D79&lt;&gt;"Serviço",0,IF(AND(AUTOEVENTO="Manual",$M79=1),0,IF(OFFSET(CRONOPLE!$F$14,$M79,AS$13)="",10^12,OFFSET(CRONOPLE!$F$14,$M79,AS$13))))</f>
        <v>1000000000000</v>
      </c>
      <c r="AT79" s="215">
        <f ca="1">IF($D79&lt;&gt;"Serviço",0,IF(AND(AUTOEVENTO="Manual",$M79=1),0,IF(OFFSET(CRONOPLE!$F$14,$M79,AT$13)="",10^12,OFFSET(CRONOPLE!$F$14,$M79,AT$13))))</f>
        <v>1000000000000</v>
      </c>
      <c r="AU79" s="215">
        <f ca="1">IF($D79&lt;&gt;"Serviço",0,IF(AND(AUTOEVENTO="Manual",$M79=1),0,IF(OFFSET(CRONOPLE!$F$14,$M79,AU$13)="",10^12,OFFSET(CRONOPLE!$F$14,$M79,AU$13))))</f>
        <v>1000000000000</v>
      </c>
      <c r="AV79" s="215">
        <f ca="1">IF($D79&lt;&gt;"Serviço",0,IF(AND(AUTOEVENTO="Manual",$M79=1),0,IF(OFFSET(CRONOPLE!$F$14,$M79,AV$13)="",10^12,OFFSET(CRONOPLE!$F$14,$M79,AV$13))))</f>
        <v>1000000000000</v>
      </c>
      <c r="AX79" s="216">
        <f ca="1">IF($D79&lt;&gt;"Serviço",0,IF(OR(AND(AUTOEVENTO="Manual",$M79=1),$M79&gt;(ROW(PLE.lastrow)-ROW(PLE.firstrow))),0,IF(OFFSET(PLE!$G$14,$M79,AX$13)="",10^12,OFFSET(PLE!$G$14,$M79,AX$13))))</f>
        <v>1000000000000</v>
      </c>
      <c r="AY79" s="216">
        <f ca="1">IF($D79&lt;&gt;"Serviço",0,IF(OR(AND(AUTOEVENTO="Manual",$M79=1),$M79&gt;(ROW(PLE.lastrow)-ROW(PLE.firstrow))),0,IF(OFFSET(PLE!$G$14,$M79,AY$13)="",10^12,OFFSET(PLE!$G$14,$M79,AY$13))))</f>
        <v>1000000000000</v>
      </c>
      <c r="AZ79" s="216">
        <f ca="1">IF($D79&lt;&gt;"Serviço",0,IF(OR(AND(AUTOEVENTO="Manual",$M79=1),$M79&gt;(ROW(PLE.lastrow)-ROW(PLE.firstrow))),0,IF(OFFSET(PLE!$G$14,$M79,AZ$13)="",10^12,OFFSET(PLE!$G$14,$M79,AZ$13))))</f>
        <v>1000000000000</v>
      </c>
      <c r="BA79" s="216">
        <f ca="1">IF($D79&lt;&gt;"Serviço",0,IF(OR(AND(AUTOEVENTO="Manual",$M79=1),$M79&gt;(ROW(PLE.lastrow)-ROW(PLE.firstrow))),0,IF(OFFSET(PLE!$G$14,$M79,BA$13)="",10^12,OFFSET(PLE!$G$14,$M79,BA$13))))</f>
        <v>1000000000000</v>
      </c>
      <c r="BB79" s="216">
        <f ca="1">IF($D79&lt;&gt;"Serviço",0,IF(OR(AND(AUTOEVENTO="Manual",$M79=1),$M79&gt;(ROW(PLE.lastrow)-ROW(PLE.firstrow))),0,IF(OFFSET(PLE!$G$14,$M79,BB$13)="",10^12,OFFSET(PLE!$G$14,$M79,BB$13))))</f>
        <v>1000000000000</v>
      </c>
      <c r="BC79" s="216">
        <f ca="1">IF($D79&lt;&gt;"Serviço",0,IF(OR(AND(AUTOEVENTO="Manual",$M79=1),$M79&gt;(ROW(PLE.lastrow)-ROW(PLE.firstrow))),0,IF(OFFSET(PLE!$G$14,$M79,BC$13)="",10^12,OFFSET(PLE!$G$14,$M79,BC$13))))</f>
        <v>1000000000000</v>
      </c>
      <c r="BD79" s="216">
        <f ca="1">IF($D79&lt;&gt;"Serviço",0,IF(OR(AND(AUTOEVENTO="Manual",$M79=1),$M79&gt;(ROW(PLE.lastrow)-ROW(PLE.firstrow))),0,IF(OFFSET(PLE!$G$14,$M79,BD$13)="",10^12,OFFSET(PLE!$G$14,$M79,BD$13))))</f>
        <v>1000000000000</v>
      </c>
      <c r="BE79" s="216">
        <f ca="1">IF($D79&lt;&gt;"Serviço",0,IF(OR(AND(AUTOEVENTO="Manual",$M79=1),$M79&gt;(ROW(PLE.lastrow)-ROW(PLE.firstrow))),0,IF(OFFSET(PLE!$G$14,$M79,BE$13)="",10^12,OFFSET(PLE!$G$14,$M79,BE$13))))</f>
        <v>1000000000000</v>
      </c>
      <c r="BF79" s="216">
        <f ca="1">IF($D79&lt;&gt;"Serviço",0,IF(OR(AND(AUTOEVENTO="Manual",$M79=1),$M79&gt;(ROW(PLE.lastrow)-ROW(PLE.firstrow))),0,IF(OFFSET(PLE!$G$14,$M79,BF$13)="",10^12,OFFSET(PLE!$G$14,$M79,BF$13))))</f>
        <v>1000000000000</v>
      </c>
      <c r="BG79" s="216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37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5" t="str">
        <f ca="1">OFFSET(ORÇAMENTO!N$15,ROW(D80)-ROW(D$15),0)</f>
        <v>Serviço</v>
      </c>
      <c r="E80" s="205" t="str">
        <f ca="1">OFFSET(ORÇAMENTO!O$15,ROW(E80)-ROW(E$15),0)</f>
        <v>-</v>
      </c>
      <c r="F80" s="206" t="str">
        <f ca="1">OFFSET(ORÇAMENTO!R$15,ROW(F80)-ROW(F$15),0)</f>
        <v>(abra o arquivo 'Referência 05-2023.xls)</v>
      </c>
      <c r="G80" s="207" t="str">
        <f ca="1">IF($D80&lt;&gt;"Serviço","",OFFSET(ORÇAMENTO!S$15,ROW(G80)-ROW(G$15),0))</f>
        <v>-</v>
      </c>
      <c r="H80" s="151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1"/>
      <c r="K80" s="208"/>
      <c r="L80" s="209" t="s">
        <v>254</v>
      </c>
      <c r="M80" s="210">
        <f ca="1">IF($D80&lt;&gt;"Serviço","",IF(AUTOEVENTO="manual",$A80,IF(ISERROR(MATCH($A80,$A$15:OFFSET($A80,-1,0),0)),MAX($M$15:OFFSET(M80,-1,0))+1,INDEX($M$15:OFFSET(M80,-1,0),MATCH($A80,$A$15:OFFSET($A80,-1,0),0)))))</f>
        <v>5</v>
      </c>
      <c r="N80" s="211" t="str">
        <f ca="1">IF($D80&lt;&gt;"Serviço","",IF(AUTOEVENTO="Manual",IF($A80=0,"&lt;-- defina o número do agrupador",OFFSET(EVENTOS!$D$14,$A80,0)),OFFSET($F$15,$A80,0)))</f>
        <v>PINTURAS E TEXTURAS</v>
      </c>
      <c r="O80" s="212"/>
      <c r="Q80" s="212"/>
      <c r="R80" s="213"/>
      <c r="S80" s="213"/>
      <c r="T80" s="213"/>
      <c r="U80" s="213"/>
      <c r="V80" s="213"/>
      <c r="W80" s="213"/>
      <c r="X80" s="213"/>
      <c r="Y80" s="213"/>
      <c r="Z80" s="214"/>
      <c r="AB80" s="592">
        <f ca="1">IF(AND($D80="Serviço",AB$12&lt;&gt;0,$H80&gt;0,OR(AUTOEVENTO&lt;&gt;"manual",$M80&lt;&gt;1)),ROUND(OFFSET($P80,0,AB$13),15-13*ORÇAMENTO!$AF$7)/$H80*OFFSET(ORÇAMENTO!$X$15,ROW(AB80)-ROW(AB$15),0),0)</f>
        <v>0</v>
      </c>
      <c r="AC80" s="593">
        <f ca="1">IF(AND($D80="Serviço",AC$12&lt;&gt;0,$H80&gt;0,OR(AUTOEVENTO&lt;&gt;"manual",$M80&lt;&gt;1)),ROUND(OFFSET($P80,0,AC$13),15-13*ORÇAMENTO!$AF$7)/$H80*OFFSET(ORÇAMENTO!$X$15,ROW(AC80)-ROW(AC$15),0),0)</f>
        <v>0</v>
      </c>
      <c r="AD80" s="593">
        <f ca="1">IF(AND($D80="Serviço",AD$12&lt;&gt;0,$H80&gt;0,OR(AUTOEVENTO&lt;&gt;"manual",$M80&lt;&gt;1)),ROUND(OFFSET($P80,0,AD$13),15-13*ORÇAMENTO!$AF$7)/$H80*OFFSET(ORÇAMENTO!$X$15,ROW(AD80)-ROW(AD$15),0),0)</f>
        <v>0</v>
      </c>
      <c r="AE80" s="593">
        <f ca="1">IF(AND($D80="Serviço",AE$12&lt;&gt;0,$H80&gt;0,OR(AUTOEVENTO&lt;&gt;"manual",$M80&lt;&gt;1)),ROUND(OFFSET($P80,0,AE$13),15-13*ORÇAMENTO!$AF$7)/$H80*OFFSET(ORÇAMENTO!$X$15,ROW(AE80)-ROW(AE$15),0),0)</f>
        <v>0</v>
      </c>
      <c r="AF80" s="593">
        <f ca="1">IF(AND($D80="Serviço",AF$12&lt;&gt;0,$H80&gt;0,OR(AUTOEVENTO&lt;&gt;"manual",$M80&lt;&gt;1)),ROUND(OFFSET($P80,0,AF$13),15-13*ORÇAMENTO!$AF$7)/$H80*OFFSET(ORÇAMENTO!$X$15,ROW(AF80)-ROW(AF$15),0),0)</f>
        <v>0</v>
      </c>
      <c r="AG80" s="593">
        <f ca="1">IF(AND($D80="Serviço",AG$12&lt;&gt;0,$H80&gt;0,OR(AUTOEVENTO&lt;&gt;"manual",$M80&lt;&gt;1)),ROUND(OFFSET($P80,0,AG$13),15-13*ORÇAMENTO!$AF$7)/$H80*OFFSET(ORÇAMENTO!$X$15,ROW(AG80)-ROW(AG$15),0),0)</f>
        <v>0</v>
      </c>
      <c r="AH80" s="593">
        <f ca="1">IF(AND($D80="Serviço",AH$12&lt;&gt;0,$H80&gt;0,OR(AUTOEVENTO&lt;&gt;"manual",$M80&lt;&gt;1)),ROUND(OFFSET($P80,0,AH$13),15-13*ORÇAMENTO!$AF$7)/$H80*OFFSET(ORÇAMENTO!$X$15,ROW(AH80)-ROW(AH$15),0),0)</f>
        <v>0</v>
      </c>
      <c r="AI80" s="593">
        <f ca="1">IF(AND($D80="Serviço",AI$12&lt;&gt;0,$H80&gt;0,OR(AUTOEVENTO&lt;&gt;"manual",$M80&lt;&gt;1)),ROUND(OFFSET($P80,0,AI$13),15-13*ORÇAMENTO!$AF$7)/$H80*OFFSET(ORÇAMENTO!$X$15,ROW(AI80)-ROW(AI$15),0),0)</f>
        <v>0</v>
      </c>
      <c r="AJ80" s="593">
        <f ca="1">IF(AND($D80="Serviço",AJ$12&lt;&gt;0,$H80&gt;0,OR(AUTOEVENTO&lt;&gt;"manual",$M80&lt;&gt;1)),ROUND(OFFSET($P80,0,AJ$13),15-13*ORÇAMENTO!$AF$7)/$H80*OFFSET(ORÇAMENTO!$X$15,ROW(AJ80)-ROW(AJ$15),0),0)</f>
        <v>0</v>
      </c>
      <c r="AK80" s="594">
        <f ca="1">IF(AND($D80="Serviço",AK$12&lt;&gt;0,$H80&gt;0,OR(AUTOEVENTO&lt;&gt;"manual",$M80&lt;&gt;1)),ROUND(OFFSET($P80,0,AK$13),15-13*ORÇAMENTO!$AF$7)/$H80*OFFSET(ORÇAMENTO!$X$15,ROW(AK80)-ROW(AK$15),0),0)</f>
        <v>0</v>
      </c>
      <c r="AM80" s="215">
        <f ca="1">IF($D80&lt;&gt;"Serviço",0,IF(AND(AUTOEVENTO="Manual",$M80=1),0,IF(OFFSET(CRONOPLE!$F$14,$M80,AM$13)="",10^12,OFFSET(CRONOPLE!$F$14,$M80,AM$13))))</f>
        <v>2</v>
      </c>
      <c r="AN80" s="215">
        <f ca="1">IF($D80&lt;&gt;"Serviço",0,IF(AND(AUTOEVENTO="Manual",$M80=1),0,IF(OFFSET(CRONOPLE!$F$14,$M80,AN$13)="",10^12,OFFSET(CRONOPLE!$F$14,$M80,AN$13))))</f>
        <v>2</v>
      </c>
      <c r="AO80" s="215">
        <f ca="1">IF($D80&lt;&gt;"Serviço",0,IF(AND(AUTOEVENTO="Manual",$M80=1),0,IF(OFFSET(CRONOPLE!$F$14,$M80,AO$13)="",10^12,OFFSET(CRONOPLE!$F$14,$M80,AO$13))))</f>
        <v>3</v>
      </c>
      <c r="AP80" s="215">
        <f ca="1">IF($D80&lt;&gt;"Serviço",0,IF(AND(AUTOEVENTO="Manual",$M80=1),0,IF(OFFSET(CRONOPLE!$F$14,$M80,AP$13)="",10^12,OFFSET(CRONOPLE!$F$14,$M80,AP$13))))</f>
        <v>1000000000000</v>
      </c>
      <c r="AQ80" s="215">
        <f ca="1">IF($D80&lt;&gt;"Serviço",0,IF(AND(AUTOEVENTO="Manual",$M80=1),0,IF(OFFSET(CRONOPLE!$F$14,$M80,AQ$13)="",10^12,OFFSET(CRONOPLE!$F$14,$M80,AQ$13))))</f>
        <v>1000000000000</v>
      </c>
      <c r="AR80" s="215">
        <f ca="1">IF($D80&lt;&gt;"Serviço",0,IF(AND(AUTOEVENTO="Manual",$M80=1),0,IF(OFFSET(CRONOPLE!$F$14,$M80,AR$13)="",10^12,OFFSET(CRONOPLE!$F$14,$M80,AR$13))))</f>
        <v>1000000000000</v>
      </c>
      <c r="AS80" s="215">
        <f ca="1">IF($D80&lt;&gt;"Serviço",0,IF(AND(AUTOEVENTO="Manual",$M80=1),0,IF(OFFSET(CRONOPLE!$F$14,$M80,AS$13)="",10^12,OFFSET(CRONOPLE!$F$14,$M80,AS$13))))</f>
        <v>1000000000000</v>
      </c>
      <c r="AT80" s="215">
        <f ca="1">IF($D80&lt;&gt;"Serviço",0,IF(AND(AUTOEVENTO="Manual",$M80=1),0,IF(OFFSET(CRONOPLE!$F$14,$M80,AT$13)="",10^12,OFFSET(CRONOPLE!$F$14,$M80,AT$13))))</f>
        <v>1000000000000</v>
      </c>
      <c r="AU80" s="215">
        <f ca="1">IF($D80&lt;&gt;"Serviço",0,IF(AND(AUTOEVENTO="Manual",$M80=1),0,IF(OFFSET(CRONOPLE!$F$14,$M80,AU$13)="",10^12,OFFSET(CRONOPLE!$F$14,$M80,AU$13))))</f>
        <v>1000000000000</v>
      </c>
      <c r="AV80" s="215">
        <f ca="1">IF($D80&lt;&gt;"Serviço",0,IF(AND(AUTOEVENTO="Manual",$M80=1),0,IF(OFFSET(CRONOPLE!$F$14,$M80,AV$13)="",10^12,OFFSET(CRONOPLE!$F$14,$M80,AV$13))))</f>
        <v>1000000000000</v>
      </c>
      <c r="AX80" s="216">
        <f ca="1">IF($D80&lt;&gt;"Serviço",0,IF(OR(AND(AUTOEVENTO="Manual",$M80=1),$M80&gt;(ROW(PLE.lastrow)-ROW(PLE.firstrow))),0,IF(OFFSET(PLE!$G$14,$M80,AX$13)="",10^12,OFFSET(PLE!$G$14,$M80,AX$13))))</f>
        <v>1000000000000</v>
      </c>
      <c r="AY80" s="216">
        <f ca="1">IF($D80&lt;&gt;"Serviço",0,IF(OR(AND(AUTOEVENTO="Manual",$M80=1),$M80&gt;(ROW(PLE.lastrow)-ROW(PLE.firstrow))),0,IF(OFFSET(PLE!$G$14,$M80,AY$13)="",10^12,OFFSET(PLE!$G$14,$M80,AY$13))))</f>
        <v>1000000000000</v>
      </c>
      <c r="AZ80" s="216">
        <f ca="1">IF($D80&lt;&gt;"Serviço",0,IF(OR(AND(AUTOEVENTO="Manual",$M80=1),$M80&gt;(ROW(PLE.lastrow)-ROW(PLE.firstrow))),0,IF(OFFSET(PLE!$G$14,$M80,AZ$13)="",10^12,OFFSET(PLE!$G$14,$M80,AZ$13))))</f>
        <v>1000000000000</v>
      </c>
      <c r="BA80" s="216">
        <f ca="1">IF($D80&lt;&gt;"Serviço",0,IF(OR(AND(AUTOEVENTO="Manual",$M80=1),$M80&gt;(ROW(PLE.lastrow)-ROW(PLE.firstrow))),0,IF(OFFSET(PLE!$G$14,$M80,BA$13)="",10^12,OFFSET(PLE!$G$14,$M80,BA$13))))</f>
        <v>1000000000000</v>
      </c>
      <c r="BB80" s="216">
        <f ca="1">IF($D80&lt;&gt;"Serviço",0,IF(OR(AND(AUTOEVENTO="Manual",$M80=1),$M80&gt;(ROW(PLE.lastrow)-ROW(PLE.firstrow))),0,IF(OFFSET(PLE!$G$14,$M80,BB$13)="",10^12,OFFSET(PLE!$G$14,$M80,BB$13))))</f>
        <v>1000000000000</v>
      </c>
      <c r="BC80" s="216">
        <f ca="1">IF($D80&lt;&gt;"Serviço",0,IF(OR(AND(AUTOEVENTO="Manual",$M80=1),$M80&gt;(ROW(PLE.lastrow)-ROW(PLE.firstrow))),0,IF(OFFSET(PLE!$G$14,$M80,BC$13)="",10^12,OFFSET(PLE!$G$14,$M80,BC$13))))</f>
        <v>1000000000000</v>
      </c>
      <c r="BD80" s="216">
        <f ca="1">IF($D80&lt;&gt;"Serviço",0,IF(OR(AND(AUTOEVENTO="Manual",$M80=1),$M80&gt;(ROW(PLE.lastrow)-ROW(PLE.firstrow))),0,IF(OFFSET(PLE!$G$14,$M80,BD$13)="",10^12,OFFSET(PLE!$G$14,$M80,BD$13))))</f>
        <v>1000000000000</v>
      </c>
      <c r="BE80" s="216">
        <f ca="1">IF($D80&lt;&gt;"Serviço",0,IF(OR(AND(AUTOEVENTO="Manual",$M80=1),$M80&gt;(ROW(PLE.lastrow)-ROW(PLE.firstrow))),0,IF(OFFSET(PLE!$G$14,$M80,BE$13)="",10^12,OFFSET(PLE!$G$14,$M80,BE$13))))</f>
        <v>1000000000000</v>
      </c>
      <c r="BF80" s="216">
        <f ca="1">IF($D80&lt;&gt;"Serviço",0,IF(OR(AND(AUTOEVENTO="Manual",$M80=1),$M80&gt;(ROW(PLE.lastrow)-ROW(PLE.firstrow))),0,IF(OFFSET(PLE!$G$14,$M80,BF$13)="",10^12,OFFSET(PLE!$G$14,$M80,BF$13))))</f>
        <v>1000000000000</v>
      </c>
      <c r="BG80" s="216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37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5" t="str">
        <f ca="1">OFFSET(ORÇAMENTO!N$15,ROW(D81)-ROW(D$15),0)</f>
        <v>Serviço</v>
      </c>
      <c r="E81" s="205" t="str">
        <f ca="1">OFFSET(ORÇAMENTO!O$15,ROW(E81)-ROW(E$15),0)</f>
        <v>-</v>
      </c>
      <c r="F81" s="206" t="str">
        <f ca="1">OFFSET(ORÇAMENTO!R$15,ROW(F81)-ROW(F$15),0)</f>
        <v>(abra o arquivo 'Referência 05-2023.xls)</v>
      </c>
      <c r="G81" s="207" t="str">
        <f ca="1">IF($D81&lt;&gt;"Serviço","",OFFSET(ORÇAMENTO!S$15,ROW(G81)-ROW(G$15),0))</f>
        <v>-</v>
      </c>
      <c r="H81" s="151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1"/>
      <c r="K81" s="208"/>
      <c r="L81" s="209" t="s">
        <v>254</v>
      </c>
      <c r="M81" s="210">
        <f ca="1">IF($D81&lt;&gt;"Serviço","",IF(AUTOEVENTO="manual",$A81,IF(ISERROR(MATCH($A81,$A$15:OFFSET($A81,-1,0),0)),MAX($M$15:OFFSET(M81,-1,0))+1,INDEX($M$15:OFFSET(M81,-1,0),MATCH($A81,$A$15:OFFSET($A81,-1,0),0)))))</f>
        <v>5</v>
      </c>
      <c r="N81" s="211" t="str">
        <f ca="1">IF($D81&lt;&gt;"Serviço","",IF(AUTOEVENTO="Manual",IF($A81=0,"&lt;-- defina o número do agrupador",OFFSET(EVENTOS!$D$14,$A81,0)),OFFSET($F$15,$A81,0)))</f>
        <v>PINTURAS E TEXTURAS</v>
      </c>
      <c r="O81" s="212"/>
      <c r="Q81" s="212"/>
      <c r="R81" s="213"/>
      <c r="S81" s="213"/>
      <c r="T81" s="213"/>
      <c r="U81" s="213"/>
      <c r="V81" s="213"/>
      <c r="W81" s="213"/>
      <c r="X81" s="213"/>
      <c r="Y81" s="213"/>
      <c r="Z81" s="214"/>
      <c r="AB81" s="592">
        <f ca="1">IF(AND($D81="Serviço",AB$12&lt;&gt;0,$H81&gt;0,OR(AUTOEVENTO&lt;&gt;"manual",$M81&lt;&gt;1)),ROUND(OFFSET($P81,0,AB$13),15-13*ORÇAMENTO!$AF$7)/$H81*OFFSET(ORÇAMENTO!$X$15,ROW(AB81)-ROW(AB$15),0),0)</f>
        <v>0</v>
      </c>
      <c r="AC81" s="593">
        <f ca="1">IF(AND($D81="Serviço",AC$12&lt;&gt;0,$H81&gt;0,OR(AUTOEVENTO&lt;&gt;"manual",$M81&lt;&gt;1)),ROUND(OFFSET($P81,0,AC$13),15-13*ORÇAMENTO!$AF$7)/$H81*OFFSET(ORÇAMENTO!$X$15,ROW(AC81)-ROW(AC$15),0),0)</f>
        <v>0</v>
      </c>
      <c r="AD81" s="593">
        <f ca="1">IF(AND($D81="Serviço",AD$12&lt;&gt;0,$H81&gt;0,OR(AUTOEVENTO&lt;&gt;"manual",$M81&lt;&gt;1)),ROUND(OFFSET($P81,0,AD$13),15-13*ORÇAMENTO!$AF$7)/$H81*OFFSET(ORÇAMENTO!$X$15,ROW(AD81)-ROW(AD$15),0),0)</f>
        <v>0</v>
      </c>
      <c r="AE81" s="593">
        <f ca="1">IF(AND($D81="Serviço",AE$12&lt;&gt;0,$H81&gt;0,OR(AUTOEVENTO&lt;&gt;"manual",$M81&lt;&gt;1)),ROUND(OFFSET($P81,0,AE$13),15-13*ORÇAMENTO!$AF$7)/$H81*OFFSET(ORÇAMENTO!$X$15,ROW(AE81)-ROW(AE$15),0),0)</f>
        <v>0</v>
      </c>
      <c r="AF81" s="593">
        <f ca="1">IF(AND($D81="Serviço",AF$12&lt;&gt;0,$H81&gt;0,OR(AUTOEVENTO&lt;&gt;"manual",$M81&lt;&gt;1)),ROUND(OFFSET($P81,0,AF$13),15-13*ORÇAMENTO!$AF$7)/$H81*OFFSET(ORÇAMENTO!$X$15,ROW(AF81)-ROW(AF$15),0),0)</f>
        <v>0</v>
      </c>
      <c r="AG81" s="593">
        <f ca="1">IF(AND($D81="Serviço",AG$12&lt;&gt;0,$H81&gt;0,OR(AUTOEVENTO&lt;&gt;"manual",$M81&lt;&gt;1)),ROUND(OFFSET($P81,0,AG$13),15-13*ORÇAMENTO!$AF$7)/$H81*OFFSET(ORÇAMENTO!$X$15,ROW(AG81)-ROW(AG$15),0),0)</f>
        <v>0</v>
      </c>
      <c r="AH81" s="593">
        <f ca="1">IF(AND($D81="Serviço",AH$12&lt;&gt;0,$H81&gt;0,OR(AUTOEVENTO&lt;&gt;"manual",$M81&lt;&gt;1)),ROUND(OFFSET($P81,0,AH$13),15-13*ORÇAMENTO!$AF$7)/$H81*OFFSET(ORÇAMENTO!$X$15,ROW(AH81)-ROW(AH$15),0),0)</f>
        <v>0</v>
      </c>
      <c r="AI81" s="593">
        <f ca="1">IF(AND($D81="Serviço",AI$12&lt;&gt;0,$H81&gt;0,OR(AUTOEVENTO&lt;&gt;"manual",$M81&lt;&gt;1)),ROUND(OFFSET($P81,0,AI$13),15-13*ORÇAMENTO!$AF$7)/$H81*OFFSET(ORÇAMENTO!$X$15,ROW(AI81)-ROW(AI$15),0),0)</f>
        <v>0</v>
      </c>
      <c r="AJ81" s="593">
        <f ca="1">IF(AND($D81="Serviço",AJ$12&lt;&gt;0,$H81&gt;0,OR(AUTOEVENTO&lt;&gt;"manual",$M81&lt;&gt;1)),ROUND(OFFSET($P81,0,AJ$13),15-13*ORÇAMENTO!$AF$7)/$H81*OFFSET(ORÇAMENTO!$X$15,ROW(AJ81)-ROW(AJ$15),0),0)</f>
        <v>0</v>
      </c>
      <c r="AK81" s="594">
        <f ca="1">IF(AND($D81="Serviço",AK$12&lt;&gt;0,$H81&gt;0,OR(AUTOEVENTO&lt;&gt;"manual",$M81&lt;&gt;1)),ROUND(OFFSET($P81,0,AK$13),15-13*ORÇAMENTO!$AF$7)/$H81*OFFSET(ORÇAMENTO!$X$15,ROW(AK81)-ROW(AK$15),0),0)</f>
        <v>0</v>
      </c>
      <c r="AM81" s="215">
        <f ca="1">IF($D81&lt;&gt;"Serviço",0,IF(AND(AUTOEVENTO="Manual",$M81=1),0,IF(OFFSET(CRONOPLE!$F$14,$M81,AM$13)="",10^12,OFFSET(CRONOPLE!$F$14,$M81,AM$13))))</f>
        <v>2</v>
      </c>
      <c r="AN81" s="215">
        <f ca="1">IF($D81&lt;&gt;"Serviço",0,IF(AND(AUTOEVENTO="Manual",$M81=1),0,IF(OFFSET(CRONOPLE!$F$14,$M81,AN$13)="",10^12,OFFSET(CRONOPLE!$F$14,$M81,AN$13))))</f>
        <v>2</v>
      </c>
      <c r="AO81" s="215">
        <f ca="1">IF($D81&lt;&gt;"Serviço",0,IF(AND(AUTOEVENTO="Manual",$M81=1),0,IF(OFFSET(CRONOPLE!$F$14,$M81,AO$13)="",10^12,OFFSET(CRONOPLE!$F$14,$M81,AO$13))))</f>
        <v>3</v>
      </c>
      <c r="AP81" s="215">
        <f ca="1">IF($D81&lt;&gt;"Serviço",0,IF(AND(AUTOEVENTO="Manual",$M81=1),0,IF(OFFSET(CRONOPLE!$F$14,$M81,AP$13)="",10^12,OFFSET(CRONOPLE!$F$14,$M81,AP$13))))</f>
        <v>1000000000000</v>
      </c>
      <c r="AQ81" s="215">
        <f ca="1">IF($D81&lt;&gt;"Serviço",0,IF(AND(AUTOEVENTO="Manual",$M81=1),0,IF(OFFSET(CRONOPLE!$F$14,$M81,AQ$13)="",10^12,OFFSET(CRONOPLE!$F$14,$M81,AQ$13))))</f>
        <v>1000000000000</v>
      </c>
      <c r="AR81" s="215">
        <f ca="1">IF($D81&lt;&gt;"Serviço",0,IF(AND(AUTOEVENTO="Manual",$M81=1),0,IF(OFFSET(CRONOPLE!$F$14,$M81,AR$13)="",10^12,OFFSET(CRONOPLE!$F$14,$M81,AR$13))))</f>
        <v>1000000000000</v>
      </c>
      <c r="AS81" s="215">
        <f ca="1">IF($D81&lt;&gt;"Serviço",0,IF(AND(AUTOEVENTO="Manual",$M81=1),0,IF(OFFSET(CRONOPLE!$F$14,$M81,AS$13)="",10^12,OFFSET(CRONOPLE!$F$14,$M81,AS$13))))</f>
        <v>1000000000000</v>
      </c>
      <c r="AT81" s="215">
        <f ca="1">IF($D81&lt;&gt;"Serviço",0,IF(AND(AUTOEVENTO="Manual",$M81=1),0,IF(OFFSET(CRONOPLE!$F$14,$M81,AT$13)="",10^12,OFFSET(CRONOPLE!$F$14,$M81,AT$13))))</f>
        <v>1000000000000</v>
      </c>
      <c r="AU81" s="215">
        <f ca="1">IF($D81&lt;&gt;"Serviço",0,IF(AND(AUTOEVENTO="Manual",$M81=1),0,IF(OFFSET(CRONOPLE!$F$14,$M81,AU$13)="",10^12,OFFSET(CRONOPLE!$F$14,$M81,AU$13))))</f>
        <v>1000000000000</v>
      </c>
      <c r="AV81" s="215">
        <f ca="1">IF($D81&lt;&gt;"Serviço",0,IF(AND(AUTOEVENTO="Manual",$M81=1),0,IF(OFFSET(CRONOPLE!$F$14,$M81,AV$13)="",10^12,OFFSET(CRONOPLE!$F$14,$M81,AV$13))))</f>
        <v>1000000000000</v>
      </c>
      <c r="AX81" s="216">
        <f ca="1">IF($D81&lt;&gt;"Serviço",0,IF(OR(AND(AUTOEVENTO="Manual",$M81=1),$M81&gt;(ROW(PLE.lastrow)-ROW(PLE.firstrow))),0,IF(OFFSET(PLE!$G$14,$M81,AX$13)="",10^12,OFFSET(PLE!$G$14,$M81,AX$13))))</f>
        <v>1000000000000</v>
      </c>
      <c r="AY81" s="216">
        <f ca="1">IF($D81&lt;&gt;"Serviço",0,IF(OR(AND(AUTOEVENTO="Manual",$M81=1),$M81&gt;(ROW(PLE.lastrow)-ROW(PLE.firstrow))),0,IF(OFFSET(PLE!$G$14,$M81,AY$13)="",10^12,OFFSET(PLE!$G$14,$M81,AY$13))))</f>
        <v>1000000000000</v>
      </c>
      <c r="AZ81" s="216">
        <f ca="1">IF($D81&lt;&gt;"Serviço",0,IF(OR(AND(AUTOEVENTO="Manual",$M81=1),$M81&gt;(ROW(PLE.lastrow)-ROW(PLE.firstrow))),0,IF(OFFSET(PLE!$G$14,$M81,AZ$13)="",10^12,OFFSET(PLE!$G$14,$M81,AZ$13))))</f>
        <v>1000000000000</v>
      </c>
      <c r="BA81" s="216">
        <f ca="1">IF($D81&lt;&gt;"Serviço",0,IF(OR(AND(AUTOEVENTO="Manual",$M81=1),$M81&gt;(ROW(PLE.lastrow)-ROW(PLE.firstrow))),0,IF(OFFSET(PLE!$G$14,$M81,BA$13)="",10^12,OFFSET(PLE!$G$14,$M81,BA$13))))</f>
        <v>1000000000000</v>
      </c>
      <c r="BB81" s="216">
        <f ca="1">IF($D81&lt;&gt;"Serviço",0,IF(OR(AND(AUTOEVENTO="Manual",$M81=1),$M81&gt;(ROW(PLE.lastrow)-ROW(PLE.firstrow))),0,IF(OFFSET(PLE!$G$14,$M81,BB$13)="",10^12,OFFSET(PLE!$G$14,$M81,BB$13))))</f>
        <v>1000000000000</v>
      </c>
      <c r="BC81" s="216">
        <f ca="1">IF($D81&lt;&gt;"Serviço",0,IF(OR(AND(AUTOEVENTO="Manual",$M81=1),$M81&gt;(ROW(PLE.lastrow)-ROW(PLE.firstrow))),0,IF(OFFSET(PLE!$G$14,$M81,BC$13)="",10^12,OFFSET(PLE!$G$14,$M81,BC$13))))</f>
        <v>1000000000000</v>
      </c>
      <c r="BD81" s="216">
        <f ca="1">IF($D81&lt;&gt;"Serviço",0,IF(OR(AND(AUTOEVENTO="Manual",$M81=1),$M81&gt;(ROW(PLE.lastrow)-ROW(PLE.firstrow))),0,IF(OFFSET(PLE!$G$14,$M81,BD$13)="",10^12,OFFSET(PLE!$G$14,$M81,BD$13))))</f>
        <v>1000000000000</v>
      </c>
      <c r="BE81" s="216">
        <f ca="1">IF($D81&lt;&gt;"Serviço",0,IF(OR(AND(AUTOEVENTO="Manual",$M81=1),$M81&gt;(ROW(PLE.lastrow)-ROW(PLE.firstrow))),0,IF(OFFSET(PLE!$G$14,$M81,BE$13)="",10^12,OFFSET(PLE!$G$14,$M81,BE$13))))</f>
        <v>1000000000000</v>
      </c>
      <c r="BF81" s="216">
        <f ca="1">IF($D81&lt;&gt;"Serviço",0,IF(OR(AND(AUTOEVENTO="Manual",$M81=1),$M81&gt;(ROW(PLE.lastrow)-ROW(PLE.firstrow))),0,IF(OFFSET(PLE!$G$14,$M81,BF$13)="",10^12,OFFSET(PLE!$G$14,$M81,BF$13))))</f>
        <v>1000000000000</v>
      </c>
      <c r="BG81" s="216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x14ac:dyDescent="0.2">
      <c r="A82" s="9" t="str">
        <f t="shared" ca="1" si="9"/>
        <v>37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5" t="str">
        <f ca="1">OFFSET(ORÇAMENTO!N$15,ROW(D82)-ROW(D$15),0)</f>
        <v>Serviço</v>
      </c>
      <c r="E82" s="205" t="str">
        <f ca="1">OFFSET(ORÇAMENTO!O$15,ROW(E82)-ROW(E$15),0)</f>
        <v>-</v>
      </c>
      <c r="F82" s="206" t="str">
        <f ca="1">OFFSET(ORÇAMENTO!R$15,ROW(F82)-ROW(F$15),0)</f>
        <v>(abra o arquivo 'Referência 05-2023.xls)</v>
      </c>
      <c r="G82" s="207" t="str">
        <f ca="1">IF($D82&lt;&gt;"Serviço","",OFFSET(ORÇAMENTO!S$15,ROW(G82)-ROW(G$15),0))</f>
        <v>-</v>
      </c>
      <c r="H82" s="151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1"/>
      <c r="K82" s="208"/>
      <c r="L82" s="209" t="s">
        <v>254</v>
      </c>
      <c r="M82" s="210">
        <f ca="1">IF($D82&lt;&gt;"Serviço","",IF(AUTOEVENTO="manual",$A82,IF(ISERROR(MATCH($A82,$A$15:OFFSET($A82,-1,0),0)),MAX($M$15:OFFSET(M82,-1,0))+1,INDEX($M$15:OFFSET(M82,-1,0),MATCH($A82,$A$15:OFFSET($A82,-1,0),0)))))</f>
        <v>5</v>
      </c>
      <c r="N82" s="211" t="str">
        <f ca="1">IF($D82&lt;&gt;"Serviço","",IF(AUTOEVENTO="Manual",IF($A82=0,"&lt;-- defina o número do agrupador",OFFSET(EVENTOS!$D$14,$A82,0)),OFFSET($F$15,$A82,0)))</f>
        <v>PINTURAS E TEXTURAS</v>
      </c>
      <c r="O82" s="212"/>
      <c r="Q82" s="212"/>
      <c r="R82" s="213"/>
      <c r="S82" s="213"/>
      <c r="T82" s="213"/>
      <c r="U82" s="213"/>
      <c r="V82" s="213"/>
      <c r="W82" s="213"/>
      <c r="X82" s="213"/>
      <c r="Y82" s="213"/>
      <c r="Z82" s="214"/>
      <c r="AB82" s="592">
        <f ca="1">IF(AND($D82="Serviço",AB$12&lt;&gt;0,$H82&gt;0,OR(AUTOEVENTO&lt;&gt;"manual",$M82&lt;&gt;1)),ROUND(OFFSET($P82,0,AB$13),15-13*ORÇAMENTO!$AF$7)/$H82*OFFSET(ORÇAMENTO!$X$15,ROW(AB82)-ROW(AB$15),0),0)</f>
        <v>0</v>
      </c>
      <c r="AC82" s="593">
        <f ca="1">IF(AND($D82="Serviço",AC$12&lt;&gt;0,$H82&gt;0,OR(AUTOEVENTO&lt;&gt;"manual",$M82&lt;&gt;1)),ROUND(OFFSET($P82,0,AC$13),15-13*ORÇAMENTO!$AF$7)/$H82*OFFSET(ORÇAMENTO!$X$15,ROW(AC82)-ROW(AC$15),0),0)</f>
        <v>0</v>
      </c>
      <c r="AD82" s="593">
        <f ca="1">IF(AND($D82="Serviço",AD$12&lt;&gt;0,$H82&gt;0,OR(AUTOEVENTO&lt;&gt;"manual",$M82&lt;&gt;1)),ROUND(OFFSET($P82,0,AD$13),15-13*ORÇAMENTO!$AF$7)/$H82*OFFSET(ORÇAMENTO!$X$15,ROW(AD82)-ROW(AD$15),0),0)</f>
        <v>0</v>
      </c>
      <c r="AE82" s="593">
        <f ca="1">IF(AND($D82="Serviço",AE$12&lt;&gt;0,$H82&gt;0,OR(AUTOEVENTO&lt;&gt;"manual",$M82&lt;&gt;1)),ROUND(OFFSET($P82,0,AE$13),15-13*ORÇAMENTO!$AF$7)/$H82*OFFSET(ORÇAMENTO!$X$15,ROW(AE82)-ROW(AE$15),0),0)</f>
        <v>0</v>
      </c>
      <c r="AF82" s="593">
        <f ca="1">IF(AND($D82="Serviço",AF$12&lt;&gt;0,$H82&gt;0,OR(AUTOEVENTO&lt;&gt;"manual",$M82&lt;&gt;1)),ROUND(OFFSET($P82,0,AF$13),15-13*ORÇAMENTO!$AF$7)/$H82*OFFSET(ORÇAMENTO!$X$15,ROW(AF82)-ROW(AF$15),0),0)</f>
        <v>0</v>
      </c>
      <c r="AG82" s="593">
        <f ca="1">IF(AND($D82="Serviço",AG$12&lt;&gt;0,$H82&gt;0,OR(AUTOEVENTO&lt;&gt;"manual",$M82&lt;&gt;1)),ROUND(OFFSET($P82,0,AG$13),15-13*ORÇAMENTO!$AF$7)/$H82*OFFSET(ORÇAMENTO!$X$15,ROW(AG82)-ROW(AG$15),0),0)</f>
        <v>0</v>
      </c>
      <c r="AH82" s="593">
        <f ca="1">IF(AND($D82="Serviço",AH$12&lt;&gt;0,$H82&gt;0,OR(AUTOEVENTO&lt;&gt;"manual",$M82&lt;&gt;1)),ROUND(OFFSET($P82,0,AH$13),15-13*ORÇAMENTO!$AF$7)/$H82*OFFSET(ORÇAMENTO!$X$15,ROW(AH82)-ROW(AH$15),0),0)</f>
        <v>0</v>
      </c>
      <c r="AI82" s="593">
        <f ca="1">IF(AND($D82="Serviço",AI$12&lt;&gt;0,$H82&gt;0,OR(AUTOEVENTO&lt;&gt;"manual",$M82&lt;&gt;1)),ROUND(OFFSET($P82,0,AI$13),15-13*ORÇAMENTO!$AF$7)/$H82*OFFSET(ORÇAMENTO!$X$15,ROW(AI82)-ROW(AI$15),0),0)</f>
        <v>0</v>
      </c>
      <c r="AJ82" s="593">
        <f ca="1">IF(AND($D82="Serviço",AJ$12&lt;&gt;0,$H82&gt;0,OR(AUTOEVENTO&lt;&gt;"manual",$M82&lt;&gt;1)),ROUND(OFFSET($P82,0,AJ$13),15-13*ORÇAMENTO!$AF$7)/$H82*OFFSET(ORÇAMENTO!$X$15,ROW(AJ82)-ROW(AJ$15),0),0)</f>
        <v>0</v>
      </c>
      <c r="AK82" s="594">
        <f ca="1">IF(AND($D82="Serviço",AK$12&lt;&gt;0,$H82&gt;0,OR(AUTOEVENTO&lt;&gt;"manual",$M82&lt;&gt;1)),ROUND(OFFSET($P82,0,AK$13),15-13*ORÇAMENTO!$AF$7)/$H82*OFFSET(ORÇAMENTO!$X$15,ROW(AK82)-ROW(AK$15),0),0)</f>
        <v>0</v>
      </c>
      <c r="AM82" s="215">
        <f ca="1">IF($D82&lt;&gt;"Serviço",0,IF(AND(AUTOEVENTO="Manual",$M82=1),0,IF(OFFSET(CRONOPLE!$F$14,$M82,AM$13)="",10^12,OFFSET(CRONOPLE!$F$14,$M82,AM$13))))</f>
        <v>2</v>
      </c>
      <c r="AN82" s="215">
        <f ca="1">IF($D82&lt;&gt;"Serviço",0,IF(AND(AUTOEVENTO="Manual",$M82=1),0,IF(OFFSET(CRONOPLE!$F$14,$M82,AN$13)="",10^12,OFFSET(CRONOPLE!$F$14,$M82,AN$13))))</f>
        <v>2</v>
      </c>
      <c r="AO82" s="215">
        <f ca="1">IF($D82&lt;&gt;"Serviço",0,IF(AND(AUTOEVENTO="Manual",$M82=1),0,IF(OFFSET(CRONOPLE!$F$14,$M82,AO$13)="",10^12,OFFSET(CRONOPLE!$F$14,$M82,AO$13))))</f>
        <v>3</v>
      </c>
      <c r="AP82" s="215">
        <f ca="1">IF($D82&lt;&gt;"Serviço",0,IF(AND(AUTOEVENTO="Manual",$M82=1),0,IF(OFFSET(CRONOPLE!$F$14,$M82,AP$13)="",10^12,OFFSET(CRONOPLE!$F$14,$M82,AP$13))))</f>
        <v>1000000000000</v>
      </c>
      <c r="AQ82" s="215">
        <f ca="1">IF($D82&lt;&gt;"Serviço",0,IF(AND(AUTOEVENTO="Manual",$M82=1),0,IF(OFFSET(CRONOPLE!$F$14,$M82,AQ$13)="",10^12,OFFSET(CRONOPLE!$F$14,$M82,AQ$13))))</f>
        <v>1000000000000</v>
      </c>
      <c r="AR82" s="215">
        <f ca="1">IF($D82&lt;&gt;"Serviço",0,IF(AND(AUTOEVENTO="Manual",$M82=1),0,IF(OFFSET(CRONOPLE!$F$14,$M82,AR$13)="",10^12,OFFSET(CRONOPLE!$F$14,$M82,AR$13))))</f>
        <v>1000000000000</v>
      </c>
      <c r="AS82" s="215">
        <f ca="1">IF($D82&lt;&gt;"Serviço",0,IF(AND(AUTOEVENTO="Manual",$M82=1),0,IF(OFFSET(CRONOPLE!$F$14,$M82,AS$13)="",10^12,OFFSET(CRONOPLE!$F$14,$M82,AS$13))))</f>
        <v>1000000000000</v>
      </c>
      <c r="AT82" s="215">
        <f ca="1">IF($D82&lt;&gt;"Serviço",0,IF(AND(AUTOEVENTO="Manual",$M82=1),0,IF(OFFSET(CRONOPLE!$F$14,$M82,AT$13)="",10^12,OFFSET(CRONOPLE!$F$14,$M82,AT$13))))</f>
        <v>1000000000000</v>
      </c>
      <c r="AU82" s="215">
        <f ca="1">IF($D82&lt;&gt;"Serviço",0,IF(AND(AUTOEVENTO="Manual",$M82=1),0,IF(OFFSET(CRONOPLE!$F$14,$M82,AU$13)="",10^12,OFFSET(CRONOPLE!$F$14,$M82,AU$13))))</f>
        <v>1000000000000</v>
      </c>
      <c r="AV82" s="215">
        <f ca="1">IF($D82&lt;&gt;"Serviço",0,IF(AND(AUTOEVENTO="Manual",$M82=1),0,IF(OFFSET(CRONOPLE!$F$14,$M82,AV$13)="",10^12,OFFSET(CRONOPLE!$F$14,$M82,AV$13))))</f>
        <v>1000000000000</v>
      </c>
      <c r="AX82" s="216">
        <f ca="1">IF($D82&lt;&gt;"Serviço",0,IF(OR(AND(AUTOEVENTO="Manual",$M82=1),$M82&gt;(ROW(PLE.lastrow)-ROW(PLE.firstrow))),0,IF(OFFSET(PLE!$G$14,$M82,AX$13)="",10^12,OFFSET(PLE!$G$14,$M82,AX$13))))</f>
        <v>1000000000000</v>
      </c>
      <c r="AY82" s="216">
        <f ca="1">IF($D82&lt;&gt;"Serviço",0,IF(OR(AND(AUTOEVENTO="Manual",$M82=1),$M82&gt;(ROW(PLE.lastrow)-ROW(PLE.firstrow))),0,IF(OFFSET(PLE!$G$14,$M82,AY$13)="",10^12,OFFSET(PLE!$G$14,$M82,AY$13))))</f>
        <v>1000000000000</v>
      </c>
      <c r="AZ82" s="216">
        <f ca="1">IF($D82&lt;&gt;"Serviço",0,IF(OR(AND(AUTOEVENTO="Manual",$M82=1),$M82&gt;(ROW(PLE.lastrow)-ROW(PLE.firstrow))),0,IF(OFFSET(PLE!$G$14,$M82,AZ$13)="",10^12,OFFSET(PLE!$G$14,$M82,AZ$13))))</f>
        <v>1000000000000</v>
      </c>
      <c r="BA82" s="216">
        <f ca="1">IF($D82&lt;&gt;"Serviço",0,IF(OR(AND(AUTOEVENTO="Manual",$M82=1),$M82&gt;(ROW(PLE.lastrow)-ROW(PLE.firstrow))),0,IF(OFFSET(PLE!$G$14,$M82,BA$13)="",10^12,OFFSET(PLE!$G$14,$M82,BA$13))))</f>
        <v>1000000000000</v>
      </c>
      <c r="BB82" s="216">
        <f ca="1">IF($D82&lt;&gt;"Serviço",0,IF(OR(AND(AUTOEVENTO="Manual",$M82=1),$M82&gt;(ROW(PLE.lastrow)-ROW(PLE.firstrow))),0,IF(OFFSET(PLE!$G$14,$M82,BB$13)="",10^12,OFFSET(PLE!$G$14,$M82,BB$13))))</f>
        <v>1000000000000</v>
      </c>
      <c r="BC82" s="216">
        <f ca="1">IF($D82&lt;&gt;"Serviço",0,IF(OR(AND(AUTOEVENTO="Manual",$M82=1),$M82&gt;(ROW(PLE.lastrow)-ROW(PLE.firstrow))),0,IF(OFFSET(PLE!$G$14,$M82,BC$13)="",10^12,OFFSET(PLE!$G$14,$M82,BC$13))))</f>
        <v>1000000000000</v>
      </c>
      <c r="BD82" s="216">
        <f ca="1">IF($D82&lt;&gt;"Serviço",0,IF(OR(AND(AUTOEVENTO="Manual",$M82=1),$M82&gt;(ROW(PLE.lastrow)-ROW(PLE.firstrow))),0,IF(OFFSET(PLE!$G$14,$M82,BD$13)="",10^12,OFFSET(PLE!$G$14,$M82,BD$13))))</f>
        <v>1000000000000</v>
      </c>
      <c r="BE82" s="216">
        <f ca="1">IF($D82&lt;&gt;"Serviço",0,IF(OR(AND(AUTOEVENTO="Manual",$M82=1),$M82&gt;(ROW(PLE.lastrow)-ROW(PLE.firstrow))),0,IF(OFFSET(PLE!$G$14,$M82,BE$13)="",10^12,OFFSET(PLE!$G$14,$M82,BE$13))))</f>
        <v>1000000000000</v>
      </c>
      <c r="BF82" s="216">
        <f ca="1">IF($D82&lt;&gt;"Serviço",0,IF(OR(AND(AUTOEVENTO="Manual",$M82=1),$M82&gt;(ROW(PLE.lastrow)-ROW(PLE.firstrow))),0,IF(OFFSET(PLE!$G$14,$M82,BF$13)="",10^12,OFFSET(PLE!$G$14,$M82,BF$13))))</f>
        <v>1000000000000</v>
      </c>
      <c r="BG82" s="216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x14ac:dyDescent="0.2">
      <c r="A83" s="9" t="str">
        <f t="shared" ca="1" si="9"/>
        <v>37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5" t="str">
        <f ca="1">OFFSET(ORÇAMENTO!N$15,ROW(D83)-ROW(D$15),0)</f>
        <v>Serviço</v>
      </c>
      <c r="E83" s="205" t="str">
        <f ca="1">OFFSET(ORÇAMENTO!O$15,ROW(E83)-ROW(E$15),0)</f>
        <v>-</v>
      </c>
      <c r="F83" s="206" t="str">
        <f ca="1">OFFSET(ORÇAMENTO!R$15,ROW(F83)-ROW(F$15),0)</f>
        <v>(abra o arquivo 'Referência 05-2023.xls)</v>
      </c>
      <c r="G83" s="207" t="str">
        <f ca="1">IF($D83&lt;&gt;"Serviço","",OFFSET(ORÇAMENTO!S$15,ROW(G83)-ROW(G$15),0))</f>
        <v>-</v>
      </c>
      <c r="H83" s="151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1"/>
      <c r="K83" s="208"/>
      <c r="L83" s="209" t="s">
        <v>254</v>
      </c>
      <c r="M83" s="210">
        <f ca="1">IF($D83&lt;&gt;"Serviço","",IF(AUTOEVENTO="manual",$A83,IF(ISERROR(MATCH($A83,$A$15:OFFSET($A83,-1,0),0)),MAX($M$15:OFFSET(M83,-1,0))+1,INDEX($M$15:OFFSET(M83,-1,0),MATCH($A83,$A$15:OFFSET($A83,-1,0),0)))))</f>
        <v>5</v>
      </c>
      <c r="N83" s="211" t="str">
        <f ca="1">IF($D83&lt;&gt;"Serviço","",IF(AUTOEVENTO="Manual",IF($A83=0,"&lt;-- defina o número do agrupador",OFFSET(EVENTOS!$D$14,$A83,0)),OFFSET($F$15,$A83,0)))</f>
        <v>PINTURAS E TEXTURAS</v>
      </c>
      <c r="O83" s="212"/>
      <c r="Q83" s="212"/>
      <c r="R83" s="213"/>
      <c r="S83" s="213"/>
      <c r="T83" s="213"/>
      <c r="U83" s="213"/>
      <c r="V83" s="213"/>
      <c r="W83" s="213"/>
      <c r="X83" s="213"/>
      <c r="Y83" s="213"/>
      <c r="Z83" s="214"/>
      <c r="AB83" s="592">
        <f ca="1">IF(AND($D83="Serviço",AB$12&lt;&gt;0,$H83&gt;0,OR(AUTOEVENTO&lt;&gt;"manual",$M83&lt;&gt;1)),ROUND(OFFSET($P83,0,AB$13),15-13*ORÇAMENTO!$AF$7)/$H83*OFFSET(ORÇAMENTO!$X$15,ROW(AB83)-ROW(AB$15),0),0)</f>
        <v>0</v>
      </c>
      <c r="AC83" s="593">
        <f ca="1">IF(AND($D83="Serviço",AC$12&lt;&gt;0,$H83&gt;0,OR(AUTOEVENTO&lt;&gt;"manual",$M83&lt;&gt;1)),ROUND(OFFSET($P83,0,AC$13),15-13*ORÇAMENTO!$AF$7)/$H83*OFFSET(ORÇAMENTO!$X$15,ROW(AC83)-ROW(AC$15),0),0)</f>
        <v>0</v>
      </c>
      <c r="AD83" s="593">
        <f ca="1">IF(AND($D83="Serviço",AD$12&lt;&gt;0,$H83&gt;0,OR(AUTOEVENTO&lt;&gt;"manual",$M83&lt;&gt;1)),ROUND(OFFSET($P83,0,AD$13),15-13*ORÇAMENTO!$AF$7)/$H83*OFFSET(ORÇAMENTO!$X$15,ROW(AD83)-ROW(AD$15),0),0)</f>
        <v>0</v>
      </c>
      <c r="AE83" s="593">
        <f ca="1">IF(AND($D83="Serviço",AE$12&lt;&gt;0,$H83&gt;0,OR(AUTOEVENTO&lt;&gt;"manual",$M83&lt;&gt;1)),ROUND(OFFSET($P83,0,AE$13),15-13*ORÇAMENTO!$AF$7)/$H83*OFFSET(ORÇAMENTO!$X$15,ROW(AE83)-ROW(AE$15),0),0)</f>
        <v>0</v>
      </c>
      <c r="AF83" s="593">
        <f ca="1">IF(AND($D83="Serviço",AF$12&lt;&gt;0,$H83&gt;0,OR(AUTOEVENTO&lt;&gt;"manual",$M83&lt;&gt;1)),ROUND(OFFSET($P83,0,AF$13),15-13*ORÇAMENTO!$AF$7)/$H83*OFFSET(ORÇAMENTO!$X$15,ROW(AF83)-ROW(AF$15),0),0)</f>
        <v>0</v>
      </c>
      <c r="AG83" s="593">
        <f ca="1">IF(AND($D83="Serviço",AG$12&lt;&gt;0,$H83&gt;0,OR(AUTOEVENTO&lt;&gt;"manual",$M83&lt;&gt;1)),ROUND(OFFSET($P83,0,AG$13),15-13*ORÇAMENTO!$AF$7)/$H83*OFFSET(ORÇAMENTO!$X$15,ROW(AG83)-ROW(AG$15),0),0)</f>
        <v>0</v>
      </c>
      <c r="AH83" s="593">
        <f ca="1">IF(AND($D83="Serviço",AH$12&lt;&gt;0,$H83&gt;0,OR(AUTOEVENTO&lt;&gt;"manual",$M83&lt;&gt;1)),ROUND(OFFSET($P83,0,AH$13),15-13*ORÇAMENTO!$AF$7)/$H83*OFFSET(ORÇAMENTO!$X$15,ROW(AH83)-ROW(AH$15),0),0)</f>
        <v>0</v>
      </c>
      <c r="AI83" s="593">
        <f ca="1">IF(AND($D83="Serviço",AI$12&lt;&gt;0,$H83&gt;0,OR(AUTOEVENTO&lt;&gt;"manual",$M83&lt;&gt;1)),ROUND(OFFSET($P83,0,AI$13),15-13*ORÇAMENTO!$AF$7)/$H83*OFFSET(ORÇAMENTO!$X$15,ROW(AI83)-ROW(AI$15),0),0)</f>
        <v>0</v>
      </c>
      <c r="AJ83" s="593">
        <f ca="1">IF(AND($D83="Serviço",AJ$12&lt;&gt;0,$H83&gt;0,OR(AUTOEVENTO&lt;&gt;"manual",$M83&lt;&gt;1)),ROUND(OFFSET($P83,0,AJ$13),15-13*ORÇAMENTO!$AF$7)/$H83*OFFSET(ORÇAMENTO!$X$15,ROW(AJ83)-ROW(AJ$15),0),0)</f>
        <v>0</v>
      </c>
      <c r="AK83" s="594">
        <f ca="1">IF(AND($D83="Serviço",AK$12&lt;&gt;0,$H83&gt;0,OR(AUTOEVENTO&lt;&gt;"manual",$M83&lt;&gt;1)),ROUND(OFFSET($P83,0,AK$13),15-13*ORÇAMENTO!$AF$7)/$H83*OFFSET(ORÇAMENTO!$X$15,ROW(AK83)-ROW(AK$15),0),0)</f>
        <v>0</v>
      </c>
      <c r="AM83" s="215">
        <f ca="1">IF($D83&lt;&gt;"Serviço",0,IF(AND(AUTOEVENTO="Manual",$M83=1),0,IF(OFFSET(CRONOPLE!$F$14,$M83,AM$13)="",10^12,OFFSET(CRONOPLE!$F$14,$M83,AM$13))))</f>
        <v>2</v>
      </c>
      <c r="AN83" s="215">
        <f ca="1">IF($D83&lt;&gt;"Serviço",0,IF(AND(AUTOEVENTO="Manual",$M83=1),0,IF(OFFSET(CRONOPLE!$F$14,$M83,AN$13)="",10^12,OFFSET(CRONOPLE!$F$14,$M83,AN$13))))</f>
        <v>2</v>
      </c>
      <c r="AO83" s="215">
        <f ca="1">IF($D83&lt;&gt;"Serviço",0,IF(AND(AUTOEVENTO="Manual",$M83=1),0,IF(OFFSET(CRONOPLE!$F$14,$M83,AO$13)="",10^12,OFFSET(CRONOPLE!$F$14,$M83,AO$13))))</f>
        <v>3</v>
      </c>
      <c r="AP83" s="215">
        <f ca="1">IF($D83&lt;&gt;"Serviço",0,IF(AND(AUTOEVENTO="Manual",$M83=1),0,IF(OFFSET(CRONOPLE!$F$14,$M83,AP$13)="",10^12,OFFSET(CRONOPLE!$F$14,$M83,AP$13))))</f>
        <v>1000000000000</v>
      </c>
      <c r="AQ83" s="215">
        <f ca="1">IF($D83&lt;&gt;"Serviço",0,IF(AND(AUTOEVENTO="Manual",$M83=1),0,IF(OFFSET(CRONOPLE!$F$14,$M83,AQ$13)="",10^12,OFFSET(CRONOPLE!$F$14,$M83,AQ$13))))</f>
        <v>1000000000000</v>
      </c>
      <c r="AR83" s="215">
        <f ca="1">IF($D83&lt;&gt;"Serviço",0,IF(AND(AUTOEVENTO="Manual",$M83=1),0,IF(OFFSET(CRONOPLE!$F$14,$M83,AR$13)="",10^12,OFFSET(CRONOPLE!$F$14,$M83,AR$13))))</f>
        <v>1000000000000</v>
      </c>
      <c r="AS83" s="215">
        <f ca="1">IF($D83&lt;&gt;"Serviço",0,IF(AND(AUTOEVENTO="Manual",$M83=1),0,IF(OFFSET(CRONOPLE!$F$14,$M83,AS$13)="",10^12,OFFSET(CRONOPLE!$F$14,$M83,AS$13))))</f>
        <v>1000000000000</v>
      </c>
      <c r="AT83" s="215">
        <f ca="1">IF($D83&lt;&gt;"Serviço",0,IF(AND(AUTOEVENTO="Manual",$M83=1),0,IF(OFFSET(CRONOPLE!$F$14,$M83,AT$13)="",10^12,OFFSET(CRONOPLE!$F$14,$M83,AT$13))))</f>
        <v>1000000000000</v>
      </c>
      <c r="AU83" s="215">
        <f ca="1">IF($D83&lt;&gt;"Serviço",0,IF(AND(AUTOEVENTO="Manual",$M83=1),0,IF(OFFSET(CRONOPLE!$F$14,$M83,AU$13)="",10^12,OFFSET(CRONOPLE!$F$14,$M83,AU$13))))</f>
        <v>1000000000000</v>
      </c>
      <c r="AV83" s="215">
        <f ca="1">IF($D83&lt;&gt;"Serviço",0,IF(AND(AUTOEVENTO="Manual",$M83=1),0,IF(OFFSET(CRONOPLE!$F$14,$M83,AV$13)="",10^12,OFFSET(CRONOPLE!$F$14,$M83,AV$13))))</f>
        <v>1000000000000</v>
      </c>
      <c r="AX83" s="216">
        <f ca="1">IF($D83&lt;&gt;"Serviço",0,IF(OR(AND(AUTOEVENTO="Manual",$M83=1),$M83&gt;(ROW(PLE.lastrow)-ROW(PLE.firstrow))),0,IF(OFFSET(PLE!$G$14,$M83,AX$13)="",10^12,OFFSET(PLE!$G$14,$M83,AX$13))))</f>
        <v>1000000000000</v>
      </c>
      <c r="AY83" s="216">
        <f ca="1">IF($D83&lt;&gt;"Serviço",0,IF(OR(AND(AUTOEVENTO="Manual",$M83=1),$M83&gt;(ROW(PLE.lastrow)-ROW(PLE.firstrow))),0,IF(OFFSET(PLE!$G$14,$M83,AY$13)="",10^12,OFFSET(PLE!$G$14,$M83,AY$13))))</f>
        <v>1000000000000</v>
      </c>
      <c r="AZ83" s="216">
        <f ca="1">IF($D83&lt;&gt;"Serviço",0,IF(OR(AND(AUTOEVENTO="Manual",$M83=1),$M83&gt;(ROW(PLE.lastrow)-ROW(PLE.firstrow))),0,IF(OFFSET(PLE!$G$14,$M83,AZ$13)="",10^12,OFFSET(PLE!$G$14,$M83,AZ$13))))</f>
        <v>1000000000000</v>
      </c>
      <c r="BA83" s="216">
        <f ca="1">IF($D83&lt;&gt;"Serviço",0,IF(OR(AND(AUTOEVENTO="Manual",$M83=1),$M83&gt;(ROW(PLE.lastrow)-ROW(PLE.firstrow))),0,IF(OFFSET(PLE!$G$14,$M83,BA$13)="",10^12,OFFSET(PLE!$G$14,$M83,BA$13))))</f>
        <v>1000000000000</v>
      </c>
      <c r="BB83" s="216">
        <f ca="1">IF($D83&lt;&gt;"Serviço",0,IF(OR(AND(AUTOEVENTO="Manual",$M83=1),$M83&gt;(ROW(PLE.lastrow)-ROW(PLE.firstrow))),0,IF(OFFSET(PLE!$G$14,$M83,BB$13)="",10^12,OFFSET(PLE!$G$14,$M83,BB$13))))</f>
        <v>1000000000000</v>
      </c>
      <c r="BC83" s="216">
        <f ca="1">IF($D83&lt;&gt;"Serviço",0,IF(OR(AND(AUTOEVENTO="Manual",$M83=1),$M83&gt;(ROW(PLE.lastrow)-ROW(PLE.firstrow))),0,IF(OFFSET(PLE!$G$14,$M83,BC$13)="",10^12,OFFSET(PLE!$G$14,$M83,BC$13))))</f>
        <v>1000000000000</v>
      </c>
      <c r="BD83" s="216">
        <f ca="1">IF($D83&lt;&gt;"Serviço",0,IF(OR(AND(AUTOEVENTO="Manual",$M83=1),$M83&gt;(ROW(PLE.lastrow)-ROW(PLE.firstrow))),0,IF(OFFSET(PLE!$G$14,$M83,BD$13)="",10^12,OFFSET(PLE!$G$14,$M83,BD$13))))</f>
        <v>1000000000000</v>
      </c>
      <c r="BE83" s="216">
        <f ca="1">IF($D83&lt;&gt;"Serviço",0,IF(OR(AND(AUTOEVENTO="Manual",$M83=1),$M83&gt;(ROW(PLE.lastrow)-ROW(PLE.firstrow))),0,IF(OFFSET(PLE!$G$14,$M83,BE$13)="",10^12,OFFSET(PLE!$G$14,$M83,BE$13))))</f>
        <v>1000000000000</v>
      </c>
      <c r="BF83" s="216">
        <f ca="1">IF($D83&lt;&gt;"Serviço",0,IF(OR(AND(AUTOEVENTO="Manual",$M83=1),$M83&gt;(ROW(PLE.lastrow)-ROW(PLE.firstrow))),0,IF(OFFSET(PLE!$G$14,$M83,BF$13)="",10^12,OFFSET(PLE!$G$14,$M83,BF$13))))</f>
        <v>1000000000000</v>
      </c>
      <c r="BG83" s="216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37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5" t="str">
        <f ca="1">OFFSET(ORÇAMENTO!N$15,ROW(D84)-ROW(D$15),0)</f>
        <v>Serviço</v>
      </c>
      <c r="E84" s="205" t="str">
        <f ca="1">OFFSET(ORÇAMENTO!O$15,ROW(E84)-ROW(E$15),0)</f>
        <v>-</v>
      </c>
      <c r="F84" s="206" t="str">
        <f ca="1">OFFSET(ORÇAMENTO!R$15,ROW(F84)-ROW(F$15),0)</f>
        <v>(abra o arquivo 'Referência 05-2023.xls)</v>
      </c>
      <c r="G84" s="207" t="str">
        <f ca="1">IF($D84&lt;&gt;"Serviço","",OFFSET(ORÇAMENTO!S$15,ROW(G84)-ROW(G$15),0))</f>
        <v>-</v>
      </c>
      <c r="H84" s="151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1"/>
      <c r="K84" s="208"/>
      <c r="L84" s="209" t="s">
        <v>254</v>
      </c>
      <c r="M84" s="210">
        <f ca="1">IF($D84&lt;&gt;"Serviço","",IF(AUTOEVENTO="manual",$A84,IF(ISERROR(MATCH($A84,$A$15:OFFSET($A84,-1,0),0)),MAX($M$15:OFFSET(M84,-1,0))+1,INDEX($M$15:OFFSET(M84,-1,0),MATCH($A84,$A$15:OFFSET($A84,-1,0),0)))))</f>
        <v>5</v>
      </c>
      <c r="N84" s="211" t="str">
        <f ca="1">IF($D84&lt;&gt;"Serviço","",IF(AUTOEVENTO="Manual",IF($A84=0,"&lt;-- defina o número do agrupador",OFFSET(EVENTOS!$D$14,$A84,0)),OFFSET($F$15,$A84,0)))</f>
        <v>PINTURAS E TEXTURAS</v>
      </c>
      <c r="O84" s="212"/>
      <c r="Q84" s="212"/>
      <c r="R84" s="213"/>
      <c r="S84" s="213"/>
      <c r="T84" s="213"/>
      <c r="U84" s="213"/>
      <c r="V84" s="213"/>
      <c r="W84" s="213"/>
      <c r="X84" s="213"/>
      <c r="Y84" s="213"/>
      <c r="Z84" s="214"/>
      <c r="AB84" s="592">
        <f ca="1">IF(AND($D84="Serviço",AB$12&lt;&gt;0,$H84&gt;0,OR(AUTOEVENTO&lt;&gt;"manual",$M84&lt;&gt;1)),ROUND(OFFSET($P84,0,AB$13),15-13*ORÇAMENTO!$AF$7)/$H84*OFFSET(ORÇAMENTO!$X$15,ROW(AB84)-ROW(AB$15),0),0)</f>
        <v>0</v>
      </c>
      <c r="AC84" s="593">
        <f ca="1">IF(AND($D84="Serviço",AC$12&lt;&gt;0,$H84&gt;0,OR(AUTOEVENTO&lt;&gt;"manual",$M84&lt;&gt;1)),ROUND(OFFSET($P84,0,AC$13),15-13*ORÇAMENTO!$AF$7)/$H84*OFFSET(ORÇAMENTO!$X$15,ROW(AC84)-ROW(AC$15),0),0)</f>
        <v>0</v>
      </c>
      <c r="AD84" s="593">
        <f ca="1">IF(AND($D84="Serviço",AD$12&lt;&gt;0,$H84&gt;0,OR(AUTOEVENTO&lt;&gt;"manual",$M84&lt;&gt;1)),ROUND(OFFSET($P84,0,AD$13),15-13*ORÇAMENTO!$AF$7)/$H84*OFFSET(ORÇAMENTO!$X$15,ROW(AD84)-ROW(AD$15),0),0)</f>
        <v>0</v>
      </c>
      <c r="AE84" s="593">
        <f ca="1">IF(AND($D84="Serviço",AE$12&lt;&gt;0,$H84&gt;0,OR(AUTOEVENTO&lt;&gt;"manual",$M84&lt;&gt;1)),ROUND(OFFSET($P84,0,AE$13),15-13*ORÇAMENTO!$AF$7)/$H84*OFFSET(ORÇAMENTO!$X$15,ROW(AE84)-ROW(AE$15),0),0)</f>
        <v>0</v>
      </c>
      <c r="AF84" s="593">
        <f ca="1">IF(AND($D84="Serviço",AF$12&lt;&gt;0,$H84&gt;0,OR(AUTOEVENTO&lt;&gt;"manual",$M84&lt;&gt;1)),ROUND(OFFSET($P84,0,AF$13),15-13*ORÇAMENTO!$AF$7)/$H84*OFFSET(ORÇAMENTO!$X$15,ROW(AF84)-ROW(AF$15),0),0)</f>
        <v>0</v>
      </c>
      <c r="AG84" s="593">
        <f ca="1">IF(AND($D84="Serviço",AG$12&lt;&gt;0,$H84&gt;0,OR(AUTOEVENTO&lt;&gt;"manual",$M84&lt;&gt;1)),ROUND(OFFSET($P84,0,AG$13),15-13*ORÇAMENTO!$AF$7)/$H84*OFFSET(ORÇAMENTO!$X$15,ROW(AG84)-ROW(AG$15),0),0)</f>
        <v>0</v>
      </c>
      <c r="AH84" s="593">
        <f ca="1">IF(AND($D84="Serviço",AH$12&lt;&gt;0,$H84&gt;0,OR(AUTOEVENTO&lt;&gt;"manual",$M84&lt;&gt;1)),ROUND(OFFSET($P84,0,AH$13),15-13*ORÇAMENTO!$AF$7)/$H84*OFFSET(ORÇAMENTO!$X$15,ROW(AH84)-ROW(AH$15),0),0)</f>
        <v>0</v>
      </c>
      <c r="AI84" s="593">
        <f ca="1">IF(AND($D84="Serviço",AI$12&lt;&gt;0,$H84&gt;0,OR(AUTOEVENTO&lt;&gt;"manual",$M84&lt;&gt;1)),ROUND(OFFSET($P84,0,AI$13),15-13*ORÇAMENTO!$AF$7)/$H84*OFFSET(ORÇAMENTO!$X$15,ROW(AI84)-ROW(AI$15),0),0)</f>
        <v>0</v>
      </c>
      <c r="AJ84" s="593">
        <f ca="1">IF(AND($D84="Serviço",AJ$12&lt;&gt;0,$H84&gt;0,OR(AUTOEVENTO&lt;&gt;"manual",$M84&lt;&gt;1)),ROUND(OFFSET($P84,0,AJ$13),15-13*ORÇAMENTO!$AF$7)/$H84*OFFSET(ORÇAMENTO!$X$15,ROW(AJ84)-ROW(AJ$15),0),0)</f>
        <v>0</v>
      </c>
      <c r="AK84" s="594">
        <f ca="1">IF(AND($D84="Serviço",AK$12&lt;&gt;0,$H84&gt;0,OR(AUTOEVENTO&lt;&gt;"manual",$M84&lt;&gt;1)),ROUND(OFFSET($P84,0,AK$13),15-13*ORÇAMENTO!$AF$7)/$H84*OFFSET(ORÇAMENTO!$X$15,ROW(AK84)-ROW(AK$15),0),0)</f>
        <v>0</v>
      </c>
      <c r="AM84" s="215">
        <f ca="1">IF($D84&lt;&gt;"Serviço",0,IF(AND(AUTOEVENTO="Manual",$M84=1),0,IF(OFFSET(CRONOPLE!$F$14,$M84,AM$13)="",10^12,OFFSET(CRONOPLE!$F$14,$M84,AM$13))))</f>
        <v>2</v>
      </c>
      <c r="AN84" s="215">
        <f ca="1">IF($D84&lt;&gt;"Serviço",0,IF(AND(AUTOEVENTO="Manual",$M84=1),0,IF(OFFSET(CRONOPLE!$F$14,$M84,AN$13)="",10^12,OFFSET(CRONOPLE!$F$14,$M84,AN$13))))</f>
        <v>2</v>
      </c>
      <c r="AO84" s="215">
        <f ca="1">IF($D84&lt;&gt;"Serviço",0,IF(AND(AUTOEVENTO="Manual",$M84=1),0,IF(OFFSET(CRONOPLE!$F$14,$M84,AO$13)="",10^12,OFFSET(CRONOPLE!$F$14,$M84,AO$13))))</f>
        <v>3</v>
      </c>
      <c r="AP84" s="215">
        <f ca="1">IF($D84&lt;&gt;"Serviço",0,IF(AND(AUTOEVENTO="Manual",$M84=1),0,IF(OFFSET(CRONOPLE!$F$14,$M84,AP$13)="",10^12,OFFSET(CRONOPLE!$F$14,$M84,AP$13))))</f>
        <v>1000000000000</v>
      </c>
      <c r="AQ84" s="215">
        <f ca="1">IF($D84&lt;&gt;"Serviço",0,IF(AND(AUTOEVENTO="Manual",$M84=1),0,IF(OFFSET(CRONOPLE!$F$14,$M84,AQ$13)="",10^12,OFFSET(CRONOPLE!$F$14,$M84,AQ$13))))</f>
        <v>1000000000000</v>
      </c>
      <c r="AR84" s="215">
        <f ca="1">IF($D84&lt;&gt;"Serviço",0,IF(AND(AUTOEVENTO="Manual",$M84=1),0,IF(OFFSET(CRONOPLE!$F$14,$M84,AR$13)="",10^12,OFFSET(CRONOPLE!$F$14,$M84,AR$13))))</f>
        <v>1000000000000</v>
      </c>
      <c r="AS84" s="215">
        <f ca="1">IF($D84&lt;&gt;"Serviço",0,IF(AND(AUTOEVENTO="Manual",$M84=1),0,IF(OFFSET(CRONOPLE!$F$14,$M84,AS$13)="",10^12,OFFSET(CRONOPLE!$F$14,$M84,AS$13))))</f>
        <v>1000000000000</v>
      </c>
      <c r="AT84" s="215">
        <f ca="1">IF($D84&lt;&gt;"Serviço",0,IF(AND(AUTOEVENTO="Manual",$M84=1),0,IF(OFFSET(CRONOPLE!$F$14,$M84,AT$13)="",10^12,OFFSET(CRONOPLE!$F$14,$M84,AT$13))))</f>
        <v>1000000000000</v>
      </c>
      <c r="AU84" s="215">
        <f ca="1">IF($D84&lt;&gt;"Serviço",0,IF(AND(AUTOEVENTO="Manual",$M84=1),0,IF(OFFSET(CRONOPLE!$F$14,$M84,AU$13)="",10^12,OFFSET(CRONOPLE!$F$14,$M84,AU$13))))</f>
        <v>1000000000000</v>
      </c>
      <c r="AV84" s="215">
        <f ca="1">IF($D84&lt;&gt;"Serviço",0,IF(AND(AUTOEVENTO="Manual",$M84=1),0,IF(OFFSET(CRONOPLE!$F$14,$M84,AV$13)="",10^12,OFFSET(CRONOPLE!$F$14,$M84,AV$13))))</f>
        <v>1000000000000</v>
      </c>
      <c r="AX84" s="216">
        <f ca="1">IF($D84&lt;&gt;"Serviço",0,IF(OR(AND(AUTOEVENTO="Manual",$M84=1),$M84&gt;(ROW(PLE.lastrow)-ROW(PLE.firstrow))),0,IF(OFFSET(PLE!$G$14,$M84,AX$13)="",10^12,OFFSET(PLE!$G$14,$M84,AX$13))))</f>
        <v>1000000000000</v>
      </c>
      <c r="AY84" s="216">
        <f ca="1">IF($D84&lt;&gt;"Serviço",0,IF(OR(AND(AUTOEVENTO="Manual",$M84=1),$M84&gt;(ROW(PLE.lastrow)-ROW(PLE.firstrow))),0,IF(OFFSET(PLE!$G$14,$M84,AY$13)="",10^12,OFFSET(PLE!$G$14,$M84,AY$13))))</f>
        <v>1000000000000</v>
      </c>
      <c r="AZ84" s="216">
        <f ca="1">IF($D84&lt;&gt;"Serviço",0,IF(OR(AND(AUTOEVENTO="Manual",$M84=1),$M84&gt;(ROW(PLE.lastrow)-ROW(PLE.firstrow))),0,IF(OFFSET(PLE!$G$14,$M84,AZ$13)="",10^12,OFFSET(PLE!$G$14,$M84,AZ$13))))</f>
        <v>1000000000000</v>
      </c>
      <c r="BA84" s="216">
        <f ca="1">IF($D84&lt;&gt;"Serviço",0,IF(OR(AND(AUTOEVENTO="Manual",$M84=1),$M84&gt;(ROW(PLE.lastrow)-ROW(PLE.firstrow))),0,IF(OFFSET(PLE!$G$14,$M84,BA$13)="",10^12,OFFSET(PLE!$G$14,$M84,BA$13))))</f>
        <v>1000000000000</v>
      </c>
      <c r="BB84" s="216">
        <f ca="1">IF($D84&lt;&gt;"Serviço",0,IF(OR(AND(AUTOEVENTO="Manual",$M84=1),$M84&gt;(ROW(PLE.lastrow)-ROW(PLE.firstrow))),0,IF(OFFSET(PLE!$G$14,$M84,BB$13)="",10^12,OFFSET(PLE!$G$14,$M84,BB$13))))</f>
        <v>1000000000000</v>
      </c>
      <c r="BC84" s="216">
        <f ca="1">IF($D84&lt;&gt;"Serviço",0,IF(OR(AND(AUTOEVENTO="Manual",$M84=1),$M84&gt;(ROW(PLE.lastrow)-ROW(PLE.firstrow))),0,IF(OFFSET(PLE!$G$14,$M84,BC$13)="",10^12,OFFSET(PLE!$G$14,$M84,BC$13))))</f>
        <v>1000000000000</v>
      </c>
      <c r="BD84" s="216">
        <f ca="1">IF($D84&lt;&gt;"Serviço",0,IF(OR(AND(AUTOEVENTO="Manual",$M84=1),$M84&gt;(ROW(PLE.lastrow)-ROW(PLE.firstrow))),0,IF(OFFSET(PLE!$G$14,$M84,BD$13)="",10^12,OFFSET(PLE!$G$14,$M84,BD$13))))</f>
        <v>1000000000000</v>
      </c>
      <c r="BE84" s="216">
        <f ca="1">IF($D84&lt;&gt;"Serviço",0,IF(OR(AND(AUTOEVENTO="Manual",$M84=1),$M84&gt;(ROW(PLE.lastrow)-ROW(PLE.firstrow))),0,IF(OFFSET(PLE!$G$14,$M84,BE$13)="",10^12,OFFSET(PLE!$G$14,$M84,BE$13))))</f>
        <v>1000000000000</v>
      </c>
      <c r="BF84" s="216">
        <f ca="1">IF($D84&lt;&gt;"Serviço",0,IF(OR(AND(AUTOEVENTO="Manual",$M84=1),$M84&gt;(ROW(PLE.lastrow)-ROW(PLE.firstrow))),0,IF(OFFSET(PLE!$G$14,$M84,BF$13)="",10^12,OFFSET(PLE!$G$14,$M84,BF$13))))</f>
        <v>1000000000000</v>
      </c>
      <c r="BG84" s="216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37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5" t="str">
        <f ca="1">OFFSET(ORÇAMENTO!N$15,ROW(D85)-ROW(D$15),0)</f>
        <v>Serviço</v>
      </c>
      <c r="E85" s="205" t="str">
        <f ca="1">OFFSET(ORÇAMENTO!O$15,ROW(E85)-ROW(E$15),0)</f>
        <v>-</v>
      </c>
      <c r="F85" s="206" t="str">
        <f ca="1">OFFSET(ORÇAMENTO!R$15,ROW(F85)-ROW(F$15),0)</f>
        <v>(abra o arquivo 'Referência 05-2023.xls)</v>
      </c>
      <c r="G85" s="207" t="str">
        <f ca="1">IF($D85&lt;&gt;"Serviço","",OFFSET(ORÇAMENTO!S$15,ROW(G85)-ROW(G$15),0))</f>
        <v>-</v>
      </c>
      <c r="H85" s="151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1"/>
      <c r="K85" s="208"/>
      <c r="L85" s="209" t="s">
        <v>254</v>
      </c>
      <c r="M85" s="210">
        <f ca="1">IF($D85&lt;&gt;"Serviço","",IF(AUTOEVENTO="manual",$A85,IF(ISERROR(MATCH($A85,$A$15:OFFSET($A85,-1,0),0)),MAX($M$15:OFFSET(M85,-1,0))+1,INDEX($M$15:OFFSET(M85,-1,0),MATCH($A85,$A$15:OFFSET($A85,-1,0),0)))))</f>
        <v>5</v>
      </c>
      <c r="N85" s="211" t="str">
        <f ca="1">IF($D85&lt;&gt;"Serviço","",IF(AUTOEVENTO="Manual",IF($A85=0,"&lt;-- defina o número do agrupador",OFFSET(EVENTOS!$D$14,$A85,0)),OFFSET($F$15,$A85,0)))</f>
        <v>PINTURAS E TEXTURAS</v>
      </c>
      <c r="O85" s="212"/>
      <c r="Q85" s="212"/>
      <c r="R85" s="213"/>
      <c r="S85" s="213"/>
      <c r="T85" s="213"/>
      <c r="U85" s="213"/>
      <c r="V85" s="213"/>
      <c r="W85" s="213"/>
      <c r="X85" s="213"/>
      <c r="Y85" s="213"/>
      <c r="Z85" s="214"/>
      <c r="AB85" s="592">
        <f ca="1">IF(AND($D85="Serviço",AB$12&lt;&gt;0,$H85&gt;0,OR(AUTOEVENTO&lt;&gt;"manual",$M85&lt;&gt;1)),ROUND(OFFSET($P85,0,AB$13),15-13*ORÇAMENTO!$AF$7)/$H85*OFFSET(ORÇAMENTO!$X$15,ROW(AB85)-ROW(AB$15),0),0)</f>
        <v>0</v>
      </c>
      <c r="AC85" s="593">
        <f ca="1">IF(AND($D85="Serviço",AC$12&lt;&gt;0,$H85&gt;0,OR(AUTOEVENTO&lt;&gt;"manual",$M85&lt;&gt;1)),ROUND(OFFSET($P85,0,AC$13),15-13*ORÇAMENTO!$AF$7)/$H85*OFFSET(ORÇAMENTO!$X$15,ROW(AC85)-ROW(AC$15),0),0)</f>
        <v>0</v>
      </c>
      <c r="AD85" s="593">
        <f ca="1">IF(AND($D85="Serviço",AD$12&lt;&gt;0,$H85&gt;0,OR(AUTOEVENTO&lt;&gt;"manual",$M85&lt;&gt;1)),ROUND(OFFSET($P85,0,AD$13),15-13*ORÇAMENTO!$AF$7)/$H85*OFFSET(ORÇAMENTO!$X$15,ROW(AD85)-ROW(AD$15),0),0)</f>
        <v>0</v>
      </c>
      <c r="AE85" s="593">
        <f ca="1">IF(AND($D85="Serviço",AE$12&lt;&gt;0,$H85&gt;0,OR(AUTOEVENTO&lt;&gt;"manual",$M85&lt;&gt;1)),ROUND(OFFSET($P85,0,AE$13),15-13*ORÇAMENTO!$AF$7)/$H85*OFFSET(ORÇAMENTO!$X$15,ROW(AE85)-ROW(AE$15),0),0)</f>
        <v>0</v>
      </c>
      <c r="AF85" s="593">
        <f ca="1">IF(AND($D85="Serviço",AF$12&lt;&gt;0,$H85&gt;0,OR(AUTOEVENTO&lt;&gt;"manual",$M85&lt;&gt;1)),ROUND(OFFSET($P85,0,AF$13),15-13*ORÇAMENTO!$AF$7)/$H85*OFFSET(ORÇAMENTO!$X$15,ROW(AF85)-ROW(AF$15),0),0)</f>
        <v>0</v>
      </c>
      <c r="AG85" s="593">
        <f ca="1">IF(AND($D85="Serviço",AG$12&lt;&gt;0,$H85&gt;0,OR(AUTOEVENTO&lt;&gt;"manual",$M85&lt;&gt;1)),ROUND(OFFSET($P85,0,AG$13),15-13*ORÇAMENTO!$AF$7)/$H85*OFFSET(ORÇAMENTO!$X$15,ROW(AG85)-ROW(AG$15),0),0)</f>
        <v>0</v>
      </c>
      <c r="AH85" s="593">
        <f ca="1">IF(AND($D85="Serviço",AH$12&lt;&gt;0,$H85&gt;0,OR(AUTOEVENTO&lt;&gt;"manual",$M85&lt;&gt;1)),ROUND(OFFSET($P85,0,AH$13),15-13*ORÇAMENTO!$AF$7)/$H85*OFFSET(ORÇAMENTO!$X$15,ROW(AH85)-ROW(AH$15),0),0)</f>
        <v>0</v>
      </c>
      <c r="AI85" s="593">
        <f ca="1">IF(AND($D85="Serviço",AI$12&lt;&gt;0,$H85&gt;0,OR(AUTOEVENTO&lt;&gt;"manual",$M85&lt;&gt;1)),ROUND(OFFSET($P85,0,AI$13),15-13*ORÇAMENTO!$AF$7)/$H85*OFFSET(ORÇAMENTO!$X$15,ROW(AI85)-ROW(AI$15),0),0)</f>
        <v>0</v>
      </c>
      <c r="AJ85" s="593">
        <f ca="1">IF(AND($D85="Serviço",AJ$12&lt;&gt;0,$H85&gt;0,OR(AUTOEVENTO&lt;&gt;"manual",$M85&lt;&gt;1)),ROUND(OFFSET($P85,0,AJ$13),15-13*ORÇAMENTO!$AF$7)/$H85*OFFSET(ORÇAMENTO!$X$15,ROW(AJ85)-ROW(AJ$15),0),0)</f>
        <v>0</v>
      </c>
      <c r="AK85" s="594">
        <f ca="1">IF(AND($D85="Serviço",AK$12&lt;&gt;0,$H85&gt;0,OR(AUTOEVENTO&lt;&gt;"manual",$M85&lt;&gt;1)),ROUND(OFFSET($P85,0,AK$13),15-13*ORÇAMENTO!$AF$7)/$H85*OFFSET(ORÇAMENTO!$X$15,ROW(AK85)-ROW(AK$15),0),0)</f>
        <v>0</v>
      </c>
      <c r="AM85" s="215">
        <f ca="1">IF($D85&lt;&gt;"Serviço",0,IF(AND(AUTOEVENTO="Manual",$M85=1),0,IF(OFFSET(CRONOPLE!$F$14,$M85,AM$13)="",10^12,OFFSET(CRONOPLE!$F$14,$M85,AM$13))))</f>
        <v>2</v>
      </c>
      <c r="AN85" s="215">
        <f ca="1">IF($D85&lt;&gt;"Serviço",0,IF(AND(AUTOEVENTO="Manual",$M85=1),0,IF(OFFSET(CRONOPLE!$F$14,$M85,AN$13)="",10^12,OFFSET(CRONOPLE!$F$14,$M85,AN$13))))</f>
        <v>2</v>
      </c>
      <c r="AO85" s="215">
        <f ca="1">IF($D85&lt;&gt;"Serviço",0,IF(AND(AUTOEVENTO="Manual",$M85=1),0,IF(OFFSET(CRONOPLE!$F$14,$M85,AO$13)="",10^12,OFFSET(CRONOPLE!$F$14,$M85,AO$13))))</f>
        <v>3</v>
      </c>
      <c r="AP85" s="215">
        <f ca="1">IF($D85&lt;&gt;"Serviço",0,IF(AND(AUTOEVENTO="Manual",$M85=1),0,IF(OFFSET(CRONOPLE!$F$14,$M85,AP$13)="",10^12,OFFSET(CRONOPLE!$F$14,$M85,AP$13))))</f>
        <v>1000000000000</v>
      </c>
      <c r="AQ85" s="215">
        <f ca="1">IF($D85&lt;&gt;"Serviço",0,IF(AND(AUTOEVENTO="Manual",$M85=1),0,IF(OFFSET(CRONOPLE!$F$14,$M85,AQ$13)="",10^12,OFFSET(CRONOPLE!$F$14,$M85,AQ$13))))</f>
        <v>1000000000000</v>
      </c>
      <c r="AR85" s="215">
        <f ca="1">IF($D85&lt;&gt;"Serviço",0,IF(AND(AUTOEVENTO="Manual",$M85=1),0,IF(OFFSET(CRONOPLE!$F$14,$M85,AR$13)="",10^12,OFFSET(CRONOPLE!$F$14,$M85,AR$13))))</f>
        <v>1000000000000</v>
      </c>
      <c r="AS85" s="215">
        <f ca="1">IF($D85&lt;&gt;"Serviço",0,IF(AND(AUTOEVENTO="Manual",$M85=1),0,IF(OFFSET(CRONOPLE!$F$14,$M85,AS$13)="",10^12,OFFSET(CRONOPLE!$F$14,$M85,AS$13))))</f>
        <v>1000000000000</v>
      </c>
      <c r="AT85" s="215">
        <f ca="1">IF($D85&lt;&gt;"Serviço",0,IF(AND(AUTOEVENTO="Manual",$M85=1),0,IF(OFFSET(CRONOPLE!$F$14,$M85,AT$13)="",10^12,OFFSET(CRONOPLE!$F$14,$M85,AT$13))))</f>
        <v>1000000000000</v>
      </c>
      <c r="AU85" s="215">
        <f ca="1">IF($D85&lt;&gt;"Serviço",0,IF(AND(AUTOEVENTO="Manual",$M85=1),0,IF(OFFSET(CRONOPLE!$F$14,$M85,AU$13)="",10^12,OFFSET(CRONOPLE!$F$14,$M85,AU$13))))</f>
        <v>1000000000000</v>
      </c>
      <c r="AV85" s="215">
        <f ca="1">IF($D85&lt;&gt;"Serviço",0,IF(AND(AUTOEVENTO="Manual",$M85=1),0,IF(OFFSET(CRONOPLE!$F$14,$M85,AV$13)="",10^12,OFFSET(CRONOPLE!$F$14,$M85,AV$13))))</f>
        <v>1000000000000</v>
      </c>
      <c r="AX85" s="216">
        <f ca="1">IF($D85&lt;&gt;"Serviço",0,IF(OR(AND(AUTOEVENTO="Manual",$M85=1),$M85&gt;(ROW(PLE.lastrow)-ROW(PLE.firstrow))),0,IF(OFFSET(PLE!$G$14,$M85,AX$13)="",10^12,OFFSET(PLE!$G$14,$M85,AX$13))))</f>
        <v>1000000000000</v>
      </c>
      <c r="AY85" s="216">
        <f ca="1">IF($D85&lt;&gt;"Serviço",0,IF(OR(AND(AUTOEVENTO="Manual",$M85=1),$M85&gt;(ROW(PLE.lastrow)-ROW(PLE.firstrow))),0,IF(OFFSET(PLE!$G$14,$M85,AY$13)="",10^12,OFFSET(PLE!$G$14,$M85,AY$13))))</f>
        <v>1000000000000</v>
      </c>
      <c r="AZ85" s="216">
        <f ca="1">IF($D85&lt;&gt;"Serviço",0,IF(OR(AND(AUTOEVENTO="Manual",$M85=1),$M85&gt;(ROW(PLE.lastrow)-ROW(PLE.firstrow))),0,IF(OFFSET(PLE!$G$14,$M85,AZ$13)="",10^12,OFFSET(PLE!$G$14,$M85,AZ$13))))</f>
        <v>1000000000000</v>
      </c>
      <c r="BA85" s="216">
        <f ca="1">IF($D85&lt;&gt;"Serviço",0,IF(OR(AND(AUTOEVENTO="Manual",$M85=1),$M85&gt;(ROW(PLE.lastrow)-ROW(PLE.firstrow))),0,IF(OFFSET(PLE!$G$14,$M85,BA$13)="",10^12,OFFSET(PLE!$G$14,$M85,BA$13))))</f>
        <v>1000000000000</v>
      </c>
      <c r="BB85" s="216">
        <f ca="1">IF($D85&lt;&gt;"Serviço",0,IF(OR(AND(AUTOEVENTO="Manual",$M85=1),$M85&gt;(ROW(PLE.lastrow)-ROW(PLE.firstrow))),0,IF(OFFSET(PLE!$G$14,$M85,BB$13)="",10^12,OFFSET(PLE!$G$14,$M85,BB$13))))</f>
        <v>1000000000000</v>
      </c>
      <c r="BC85" s="216">
        <f ca="1">IF($D85&lt;&gt;"Serviço",0,IF(OR(AND(AUTOEVENTO="Manual",$M85=1),$M85&gt;(ROW(PLE.lastrow)-ROW(PLE.firstrow))),0,IF(OFFSET(PLE!$G$14,$M85,BC$13)="",10^12,OFFSET(PLE!$G$14,$M85,BC$13))))</f>
        <v>1000000000000</v>
      </c>
      <c r="BD85" s="216">
        <f ca="1">IF($D85&lt;&gt;"Serviço",0,IF(OR(AND(AUTOEVENTO="Manual",$M85=1),$M85&gt;(ROW(PLE.lastrow)-ROW(PLE.firstrow))),0,IF(OFFSET(PLE!$G$14,$M85,BD$13)="",10^12,OFFSET(PLE!$G$14,$M85,BD$13))))</f>
        <v>1000000000000</v>
      </c>
      <c r="BE85" s="216">
        <f ca="1">IF($D85&lt;&gt;"Serviço",0,IF(OR(AND(AUTOEVENTO="Manual",$M85=1),$M85&gt;(ROW(PLE.lastrow)-ROW(PLE.firstrow))),0,IF(OFFSET(PLE!$G$14,$M85,BE$13)="",10^12,OFFSET(PLE!$G$14,$M85,BE$13))))</f>
        <v>1000000000000</v>
      </c>
      <c r="BF85" s="216">
        <f ca="1">IF($D85&lt;&gt;"Serviço",0,IF(OR(AND(AUTOEVENTO="Manual",$M85=1),$M85&gt;(ROW(PLE.lastrow)-ROW(PLE.firstrow))),0,IF(OFFSET(PLE!$G$14,$M85,BF$13)="",10^12,OFFSET(PLE!$G$14,$M85,BF$13))))</f>
        <v>1000000000000</v>
      </c>
      <c r="BG85" s="216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37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5" t="str">
        <f ca="1">OFFSET(ORÇAMENTO!N$15,ROW(D86)-ROW(D$15),0)</f>
        <v>Serviço</v>
      </c>
      <c r="E86" s="205" t="str">
        <f ca="1">OFFSET(ORÇAMENTO!O$15,ROW(E86)-ROW(E$15),0)</f>
        <v>-</v>
      </c>
      <c r="F86" s="206" t="str">
        <f ca="1">OFFSET(ORÇAMENTO!R$15,ROW(F86)-ROW(F$15),0)</f>
        <v>(abra o arquivo 'Referência 05-2023.xls)</v>
      </c>
      <c r="G86" s="207" t="str">
        <f ca="1">IF($D86&lt;&gt;"Serviço","",OFFSET(ORÇAMENTO!S$15,ROW(G86)-ROW(G$15),0))</f>
        <v>-</v>
      </c>
      <c r="H86" s="151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1"/>
      <c r="K86" s="208"/>
      <c r="L86" s="209" t="s">
        <v>254</v>
      </c>
      <c r="M86" s="210">
        <f ca="1">IF($D86&lt;&gt;"Serviço","",IF(AUTOEVENTO="manual",$A86,IF(ISERROR(MATCH($A86,$A$15:OFFSET($A86,-1,0),0)),MAX($M$15:OFFSET(M86,-1,0))+1,INDEX($M$15:OFFSET(M86,-1,0),MATCH($A86,$A$15:OFFSET($A86,-1,0),0)))))</f>
        <v>5</v>
      </c>
      <c r="N86" s="211" t="str">
        <f ca="1">IF($D86&lt;&gt;"Serviço","",IF(AUTOEVENTO="Manual",IF($A86=0,"&lt;-- defina o número do agrupador",OFFSET(EVENTOS!$D$14,$A86,0)),OFFSET($F$15,$A86,0)))</f>
        <v>PINTURAS E TEXTURAS</v>
      </c>
      <c r="O86" s="212"/>
      <c r="Q86" s="212"/>
      <c r="R86" s="213"/>
      <c r="S86" s="213"/>
      <c r="T86" s="213"/>
      <c r="U86" s="213"/>
      <c r="V86" s="213"/>
      <c r="W86" s="213"/>
      <c r="X86" s="213"/>
      <c r="Y86" s="213"/>
      <c r="Z86" s="214"/>
      <c r="AB86" s="592">
        <f ca="1">IF(AND($D86="Serviço",AB$12&lt;&gt;0,$H86&gt;0,OR(AUTOEVENTO&lt;&gt;"manual",$M86&lt;&gt;1)),ROUND(OFFSET($P86,0,AB$13),15-13*ORÇAMENTO!$AF$7)/$H86*OFFSET(ORÇAMENTO!$X$15,ROW(AB86)-ROW(AB$15),0),0)</f>
        <v>0</v>
      </c>
      <c r="AC86" s="593">
        <f ca="1">IF(AND($D86="Serviço",AC$12&lt;&gt;0,$H86&gt;0,OR(AUTOEVENTO&lt;&gt;"manual",$M86&lt;&gt;1)),ROUND(OFFSET($P86,0,AC$13),15-13*ORÇAMENTO!$AF$7)/$H86*OFFSET(ORÇAMENTO!$X$15,ROW(AC86)-ROW(AC$15),0),0)</f>
        <v>0</v>
      </c>
      <c r="AD86" s="593">
        <f ca="1">IF(AND($D86="Serviço",AD$12&lt;&gt;0,$H86&gt;0,OR(AUTOEVENTO&lt;&gt;"manual",$M86&lt;&gt;1)),ROUND(OFFSET($P86,0,AD$13),15-13*ORÇAMENTO!$AF$7)/$H86*OFFSET(ORÇAMENTO!$X$15,ROW(AD86)-ROW(AD$15),0),0)</f>
        <v>0</v>
      </c>
      <c r="AE86" s="593">
        <f ca="1">IF(AND($D86="Serviço",AE$12&lt;&gt;0,$H86&gt;0,OR(AUTOEVENTO&lt;&gt;"manual",$M86&lt;&gt;1)),ROUND(OFFSET($P86,0,AE$13),15-13*ORÇAMENTO!$AF$7)/$H86*OFFSET(ORÇAMENTO!$X$15,ROW(AE86)-ROW(AE$15),0),0)</f>
        <v>0</v>
      </c>
      <c r="AF86" s="593">
        <f ca="1">IF(AND($D86="Serviço",AF$12&lt;&gt;0,$H86&gt;0,OR(AUTOEVENTO&lt;&gt;"manual",$M86&lt;&gt;1)),ROUND(OFFSET($P86,0,AF$13),15-13*ORÇAMENTO!$AF$7)/$H86*OFFSET(ORÇAMENTO!$X$15,ROW(AF86)-ROW(AF$15),0),0)</f>
        <v>0</v>
      </c>
      <c r="AG86" s="593">
        <f ca="1">IF(AND($D86="Serviço",AG$12&lt;&gt;0,$H86&gt;0,OR(AUTOEVENTO&lt;&gt;"manual",$M86&lt;&gt;1)),ROUND(OFFSET($P86,0,AG$13),15-13*ORÇAMENTO!$AF$7)/$H86*OFFSET(ORÇAMENTO!$X$15,ROW(AG86)-ROW(AG$15),0),0)</f>
        <v>0</v>
      </c>
      <c r="AH86" s="593">
        <f ca="1">IF(AND($D86="Serviço",AH$12&lt;&gt;0,$H86&gt;0,OR(AUTOEVENTO&lt;&gt;"manual",$M86&lt;&gt;1)),ROUND(OFFSET($P86,0,AH$13),15-13*ORÇAMENTO!$AF$7)/$H86*OFFSET(ORÇAMENTO!$X$15,ROW(AH86)-ROW(AH$15),0),0)</f>
        <v>0</v>
      </c>
      <c r="AI86" s="593">
        <f ca="1">IF(AND($D86="Serviço",AI$12&lt;&gt;0,$H86&gt;0,OR(AUTOEVENTO&lt;&gt;"manual",$M86&lt;&gt;1)),ROUND(OFFSET($P86,0,AI$13),15-13*ORÇAMENTO!$AF$7)/$H86*OFFSET(ORÇAMENTO!$X$15,ROW(AI86)-ROW(AI$15),0),0)</f>
        <v>0</v>
      </c>
      <c r="AJ86" s="593">
        <f ca="1">IF(AND($D86="Serviço",AJ$12&lt;&gt;0,$H86&gt;0,OR(AUTOEVENTO&lt;&gt;"manual",$M86&lt;&gt;1)),ROUND(OFFSET($P86,0,AJ$13),15-13*ORÇAMENTO!$AF$7)/$H86*OFFSET(ORÇAMENTO!$X$15,ROW(AJ86)-ROW(AJ$15),0),0)</f>
        <v>0</v>
      </c>
      <c r="AK86" s="594">
        <f ca="1">IF(AND($D86="Serviço",AK$12&lt;&gt;0,$H86&gt;0,OR(AUTOEVENTO&lt;&gt;"manual",$M86&lt;&gt;1)),ROUND(OFFSET($P86,0,AK$13),15-13*ORÇAMENTO!$AF$7)/$H86*OFFSET(ORÇAMENTO!$X$15,ROW(AK86)-ROW(AK$15),0),0)</f>
        <v>0</v>
      </c>
      <c r="AM86" s="215">
        <f ca="1">IF($D86&lt;&gt;"Serviço",0,IF(AND(AUTOEVENTO="Manual",$M86=1),0,IF(OFFSET(CRONOPLE!$F$14,$M86,AM$13)="",10^12,OFFSET(CRONOPLE!$F$14,$M86,AM$13))))</f>
        <v>2</v>
      </c>
      <c r="AN86" s="215">
        <f ca="1">IF($D86&lt;&gt;"Serviço",0,IF(AND(AUTOEVENTO="Manual",$M86=1),0,IF(OFFSET(CRONOPLE!$F$14,$M86,AN$13)="",10^12,OFFSET(CRONOPLE!$F$14,$M86,AN$13))))</f>
        <v>2</v>
      </c>
      <c r="AO86" s="215">
        <f ca="1">IF($D86&lt;&gt;"Serviço",0,IF(AND(AUTOEVENTO="Manual",$M86=1),0,IF(OFFSET(CRONOPLE!$F$14,$M86,AO$13)="",10^12,OFFSET(CRONOPLE!$F$14,$M86,AO$13))))</f>
        <v>3</v>
      </c>
      <c r="AP86" s="215">
        <f ca="1">IF($D86&lt;&gt;"Serviço",0,IF(AND(AUTOEVENTO="Manual",$M86=1),0,IF(OFFSET(CRONOPLE!$F$14,$M86,AP$13)="",10^12,OFFSET(CRONOPLE!$F$14,$M86,AP$13))))</f>
        <v>1000000000000</v>
      </c>
      <c r="AQ86" s="215">
        <f ca="1">IF($D86&lt;&gt;"Serviço",0,IF(AND(AUTOEVENTO="Manual",$M86=1),0,IF(OFFSET(CRONOPLE!$F$14,$M86,AQ$13)="",10^12,OFFSET(CRONOPLE!$F$14,$M86,AQ$13))))</f>
        <v>1000000000000</v>
      </c>
      <c r="AR86" s="215">
        <f ca="1">IF($D86&lt;&gt;"Serviço",0,IF(AND(AUTOEVENTO="Manual",$M86=1),0,IF(OFFSET(CRONOPLE!$F$14,$M86,AR$13)="",10^12,OFFSET(CRONOPLE!$F$14,$M86,AR$13))))</f>
        <v>1000000000000</v>
      </c>
      <c r="AS86" s="215">
        <f ca="1">IF($D86&lt;&gt;"Serviço",0,IF(AND(AUTOEVENTO="Manual",$M86=1),0,IF(OFFSET(CRONOPLE!$F$14,$M86,AS$13)="",10^12,OFFSET(CRONOPLE!$F$14,$M86,AS$13))))</f>
        <v>1000000000000</v>
      </c>
      <c r="AT86" s="215">
        <f ca="1">IF($D86&lt;&gt;"Serviço",0,IF(AND(AUTOEVENTO="Manual",$M86=1),0,IF(OFFSET(CRONOPLE!$F$14,$M86,AT$13)="",10^12,OFFSET(CRONOPLE!$F$14,$M86,AT$13))))</f>
        <v>1000000000000</v>
      </c>
      <c r="AU86" s="215">
        <f ca="1">IF($D86&lt;&gt;"Serviço",0,IF(AND(AUTOEVENTO="Manual",$M86=1),0,IF(OFFSET(CRONOPLE!$F$14,$M86,AU$13)="",10^12,OFFSET(CRONOPLE!$F$14,$M86,AU$13))))</f>
        <v>1000000000000</v>
      </c>
      <c r="AV86" s="215">
        <f ca="1">IF($D86&lt;&gt;"Serviço",0,IF(AND(AUTOEVENTO="Manual",$M86=1),0,IF(OFFSET(CRONOPLE!$F$14,$M86,AV$13)="",10^12,OFFSET(CRONOPLE!$F$14,$M86,AV$13))))</f>
        <v>1000000000000</v>
      </c>
      <c r="AX86" s="216">
        <f ca="1">IF($D86&lt;&gt;"Serviço",0,IF(OR(AND(AUTOEVENTO="Manual",$M86=1),$M86&gt;(ROW(PLE.lastrow)-ROW(PLE.firstrow))),0,IF(OFFSET(PLE!$G$14,$M86,AX$13)="",10^12,OFFSET(PLE!$G$14,$M86,AX$13))))</f>
        <v>1000000000000</v>
      </c>
      <c r="AY86" s="216">
        <f ca="1">IF($D86&lt;&gt;"Serviço",0,IF(OR(AND(AUTOEVENTO="Manual",$M86=1),$M86&gt;(ROW(PLE.lastrow)-ROW(PLE.firstrow))),0,IF(OFFSET(PLE!$G$14,$M86,AY$13)="",10^12,OFFSET(PLE!$G$14,$M86,AY$13))))</f>
        <v>1000000000000</v>
      </c>
      <c r="AZ86" s="216">
        <f ca="1">IF($D86&lt;&gt;"Serviço",0,IF(OR(AND(AUTOEVENTO="Manual",$M86=1),$M86&gt;(ROW(PLE.lastrow)-ROW(PLE.firstrow))),0,IF(OFFSET(PLE!$G$14,$M86,AZ$13)="",10^12,OFFSET(PLE!$G$14,$M86,AZ$13))))</f>
        <v>1000000000000</v>
      </c>
      <c r="BA86" s="216">
        <f ca="1">IF($D86&lt;&gt;"Serviço",0,IF(OR(AND(AUTOEVENTO="Manual",$M86=1),$M86&gt;(ROW(PLE.lastrow)-ROW(PLE.firstrow))),0,IF(OFFSET(PLE!$G$14,$M86,BA$13)="",10^12,OFFSET(PLE!$G$14,$M86,BA$13))))</f>
        <v>1000000000000</v>
      </c>
      <c r="BB86" s="216">
        <f ca="1">IF($D86&lt;&gt;"Serviço",0,IF(OR(AND(AUTOEVENTO="Manual",$M86=1),$M86&gt;(ROW(PLE.lastrow)-ROW(PLE.firstrow))),0,IF(OFFSET(PLE!$G$14,$M86,BB$13)="",10^12,OFFSET(PLE!$G$14,$M86,BB$13))))</f>
        <v>1000000000000</v>
      </c>
      <c r="BC86" s="216">
        <f ca="1">IF($D86&lt;&gt;"Serviço",0,IF(OR(AND(AUTOEVENTO="Manual",$M86=1),$M86&gt;(ROW(PLE.lastrow)-ROW(PLE.firstrow))),0,IF(OFFSET(PLE!$G$14,$M86,BC$13)="",10^12,OFFSET(PLE!$G$14,$M86,BC$13))))</f>
        <v>1000000000000</v>
      </c>
      <c r="BD86" s="216">
        <f ca="1">IF($D86&lt;&gt;"Serviço",0,IF(OR(AND(AUTOEVENTO="Manual",$M86=1),$M86&gt;(ROW(PLE.lastrow)-ROW(PLE.firstrow))),0,IF(OFFSET(PLE!$G$14,$M86,BD$13)="",10^12,OFFSET(PLE!$G$14,$M86,BD$13))))</f>
        <v>1000000000000</v>
      </c>
      <c r="BE86" s="216">
        <f ca="1">IF($D86&lt;&gt;"Serviço",0,IF(OR(AND(AUTOEVENTO="Manual",$M86=1),$M86&gt;(ROW(PLE.lastrow)-ROW(PLE.firstrow))),0,IF(OFFSET(PLE!$G$14,$M86,BE$13)="",10^12,OFFSET(PLE!$G$14,$M86,BE$13))))</f>
        <v>1000000000000</v>
      </c>
      <c r="BF86" s="216">
        <f ca="1">IF($D86&lt;&gt;"Serviço",0,IF(OR(AND(AUTOEVENTO="Manual",$M86=1),$M86&gt;(ROW(PLE.lastrow)-ROW(PLE.firstrow))),0,IF(OFFSET(PLE!$G$14,$M86,BF$13)="",10^12,OFFSET(PLE!$G$14,$M86,BF$13))))</f>
        <v>1000000000000</v>
      </c>
      <c r="BG86" s="216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37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5" t="str">
        <f ca="1">OFFSET(ORÇAMENTO!N$15,ROW(D87)-ROW(D$15),0)</f>
        <v>Serviço</v>
      </c>
      <c r="E87" s="205" t="str">
        <f ca="1">OFFSET(ORÇAMENTO!O$15,ROW(E87)-ROW(E$15),0)</f>
        <v>-</v>
      </c>
      <c r="F87" s="206" t="str">
        <f ca="1">OFFSET(ORÇAMENTO!R$15,ROW(F87)-ROW(F$15),0)</f>
        <v>(abra o arquivo 'Referência 05-2023.xls)</v>
      </c>
      <c r="G87" s="207" t="str">
        <f ca="1">IF($D87&lt;&gt;"Serviço","",OFFSET(ORÇAMENTO!S$15,ROW(G87)-ROW(G$15),0))</f>
        <v>-</v>
      </c>
      <c r="H87" s="151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1"/>
      <c r="K87" s="208"/>
      <c r="L87" s="209" t="s">
        <v>254</v>
      </c>
      <c r="M87" s="210">
        <f ca="1">IF($D87&lt;&gt;"Serviço","",IF(AUTOEVENTO="manual",$A87,IF(ISERROR(MATCH($A87,$A$15:OFFSET($A87,-1,0),0)),MAX($M$15:OFFSET(M87,-1,0))+1,INDEX($M$15:OFFSET(M87,-1,0),MATCH($A87,$A$15:OFFSET($A87,-1,0),0)))))</f>
        <v>5</v>
      </c>
      <c r="N87" s="211" t="str">
        <f ca="1">IF($D87&lt;&gt;"Serviço","",IF(AUTOEVENTO="Manual",IF($A87=0,"&lt;-- defina o número do agrupador",OFFSET(EVENTOS!$D$14,$A87,0)),OFFSET($F$15,$A87,0)))</f>
        <v>PINTURAS E TEXTURAS</v>
      </c>
      <c r="O87" s="212"/>
      <c r="Q87" s="212"/>
      <c r="R87" s="213"/>
      <c r="S87" s="213"/>
      <c r="T87" s="213"/>
      <c r="U87" s="213"/>
      <c r="V87" s="213"/>
      <c r="W87" s="213"/>
      <c r="X87" s="213"/>
      <c r="Y87" s="213"/>
      <c r="Z87" s="214"/>
      <c r="AB87" s="592">
        <f ca="1">IF(AND($D87="Serviço",AB$12&lt;&gt;0,$H87&gt;0,OR(AUTOEVENTO&lt;&gt;"manual",$M87&lt;&gt;1)),ROUND(OFFSET($P87,0,AB$13),15-13*ORÇAMENTO!$AF$7)/$H87*OFFSET(ORÇAMENTO!$X$15,ROW(AB87)-ROW(AB$15),0),0)</f>
        <v>0</v>
      </c>
      <c r="AC87" s="593">
        <f ca="1">IF(AND($D87="Serviço",AC$12&lt;&gt;0,$H87&gt;0,OR(AUTOEVENTO&lt;&gt;"manual",$M87&lt;&gt;1)),ROUND(OFFSET($P87,0,AC$13),15-13*ORÇAMENTO!$AF$7)/$H87*OFFSET(ORÇAMENTO!$X$15,ROW(AC87)-ROW(AC$15),0),0)</f>
        <v>0</v>
      </c>
      <c r="AD87" s="593">
        <f ca="1">IF(AND($D87="Serviço",AD$12&lt;&gt;0,$H87&gt;0,OR(AUTOEVENTO&lt;&gt;"manual",$M87&lt;&gt;1)),ROUND(OFFSET($P87,0,AD$13),15-13*ORÇAMENTO!$AF$7)/$H87*OFFSET(ORÇAMENTO!$X$15,ROW(AD87)-ROW(AD$15),0),0)</f>
        <v>0</v>
      </c>
      <c r="AE87" s="593">
        <f ca="1">IF(AND($D87="Serviço",AE$12&lt;&gt;0,$H87&gt;0,OR(AUTOEVENTO&lt;&gt;"manual",$M87&lt;&gt;1)),ROUND(OFFSET($P87,0,AE$13),15-13*ORÇAMENTO!$AF$7)/$H87*OFFSET(ORÇAMENTO!$X$15,ROW(AE87)-ROW(AE$15),0),0)</f>
        <v>0</v>
      </c>
      <c r="AF87" s="593">
        <f ca="1">IF(AND($D87="Serviço",AF$12&lt;&gt;0,$H87&gt;0,OR(AUTOEVENTO&lt;&gt;"manual",$M87&lt;&gt;1)),ROUND(OFFSET($P87,0,AF$13),15-13*ORÇAMENTO!$AF$7)/$H87*OFFSET(ORÇAMENTO!$X$15,ROW(AF87)-ROW(AF$15),0),0)</f>
        <v>0</v>
      </c>
      <c r="AG87" s="593">
        <f ca="1">IF(AND($D87="Serviço",AG$12&lt;&gt;0,$H87&gt;0,OR(AUTOEVENTO&lt;&gt;"manual",$M87&lt;&gt;1)),ROUND(OFFSET($P87,0,AG$13),15-13*ORÇAMENTO!$AF$7)/$H87*OFFSET(ORÇAMENTO!$X$15,ROW(AG87)-ROW(AG$15),0),0)</f>
        <v>0</v>
      </c>
      <c r="AH87" s="593">
        <f ca="1">IF(AND($D87="Serviço",AH$12&lt;&gt;0,$H87&gt;0,OR(AUTOEVENTO&lt;&gt;"manual",$M87&lt;&gt;1)),ROUND(OFFSET($P87,0,AH$13),15-13*ORÇAMENTO!$AF$7)/$H87*OFFSET(ORÇAMENTO!$X$15,ROW(AH87)-ROW(AH$15),0),0)</f>
        <v>0</v>
      </c>
      <c r="AI87" s="593">
        <f ca="1">IF(AND($D87="Serviço",AI$12&lt;&gt;0,$H87&gt;0,OR(AUTOEVENTO&lt;&gt;"manual",$M87&lt;&gt;1)),ROUND(OFFSET($P87,0,AI$13),15-13*ORÇAMENTO!$AF$7)/$H87*OFFSET(ORÇAMENTO!$X$15,ROW(AI87)-ROW(AI$15),0),0)</f>
        <v>0</v>
      </c>
      <c r="AJ87" s="593">
        <f ca="1">IF(AND($D87="Serviço",AJ$12&lt;&gt;0,$H87&gt;0,OR(AUTOEVENTO&lt;&gt;"manual",$M87&lt;&gt;1)),ROUND(OFFSET($P87,0,AJ$13),15-13*ORÇAMENTO!$AF$7)/$H87*OFFSET(ORÇAMENTO!$X$15,ROW(AJ87)-ROW(AJ$15),0),0)</f>
        <v>0</v>
      </c>
      <c r="AK87" s="594">
        <f ca="1">IF(AND($D87="Serviço",AK$12&lt;&gt;0,$H87&gt;0,OR(AUTOEVENTO&lt;&gt;"manual",$M87&lt;&gt;1)),ROUND(OFFSET($P87,0,AK$13),15-13*ORÇAMENTO!$AF$7)/$H87*OFFSET(ORÇAMENTO!$X$15,ROW(AK87)-ROW(AK$15),0),0)</f>
        <v>0</v>
      </c>
      <c r="AM87" s="215">
        <f ca="1">IF($D87&lt;&gt;"Serviço",0,IF(AND(AUTOEVENTO="Manual",$M87=1),0,IF(OFFSET(CRONOPLE!$F$14,$M87,AM$13)="",10^12,OFFSET(CRONOPLE!$F$14,$M87,AM$13))))</f>
        <v>2</v>
      </c>
      <c r="AN87" s="215">
        <f ca="1">IF($D87&lt;&gt;"Serviço",0,IF(AND(AUTOEVENTO="Manual",$M87=1),0,IF(OFFSET(CRONOPLE!$F$14,$M87,AN$13)="",10^12,OFFSET(CRONOPLE!$F$14,$M87,AN$13))))</f>
        <v>2</v>
      </c>
      <c r="AO87" s="215">
        <f ca="1">IF($D87&lt;&gt;"Serviço",0,IF(AND(AUTOEVENTO="Manual",$M87=1),0,IF(OFFSET(CRONOPLE!$F$14,$M87,AO$13)="",10^12,OFFSET(CRONOPLE!$F$14,$M87,AO$13))))</f>
        <v>3</v>
      </c>
      <c r="AP87" s="215">
        <f ca="1">IF($D87&lt;&gt;"Serviço",0,IF(AND(AUTOEVENTO="Manual",$M87=1),0,IF(OFFSET(CRONOPLE!$F$14,$M87,AP$13)="",10^12,OFFSET(CRONOPLE!$F$14,$M87,AP$13))))</f>
        <v>1000000000000</v>
      </c>
      <c r="AQ87" s="215">
        <f ca="1">IF($D87&lt;&gt;"Serviço",0,IF(AND(AUTOEVENTO="Manual",$M87=1),0,IF(OFFSET(CRONOPLE!$F$14,$M87,AQ$13)="",10^12,OFFSET(CRONOPLE!$F$14,$M87,AQ$13))))</f>
        <v>1000000000000</v>
      </c>
      <c r="AR87" s="215">
        <f ca="1">IF($D87&lt;&gt;"Serviço",0,IF(AND(AUTOEVENTO="Manual",$M87=1),0,IF(OFFSET(CRONOPLE!$F$14,$M87,AR$13)="",10^12,OFFSET(CRONOPLE!$F$14,$M87,AR$13))))</f>
        <v>1000000000000</v>
      </c>
      <c r="AS87" s="215">
        <f ca="1">IF($D87&lt;&gt;"Serviço",0,IF(AND(AUTOEVENTO="Manual",$M87=1),0,IF(OFFSET(CRONOPLE!$F$14,$M87,AS$13)="",10^12,OFFSET(CRONOPLE!$F$14,$M87,AS$13))))</f>
        <v>1000000000000</v>
      </c>
      <c r="AT87" s="215">
        <f ca="1">IF($D87&lt;&gt;"Serviço",0,IF(AND(AUTOEVENTO="Manual",$M87=1),0,IF(OFFSET(CRONOPLE!$F$14,$M87,AT$13)="",10^12,OFFSET(CRONOPLE!$F$14,$M87,AT$13))))</f>
        <v>1000000000000</v>
      </c>
      <c r="AU87" s="215">
        <f ca="1">IF($D87&lt;&gt;"Serviço",0,IF(AND(AUTOEVENTO="Manual",$M87=1),0,IF(OFFSET(CRONOPLE!$F$14,$M87,AU$13)="",10^12,OFFSET(CRONOPLE!$F$14,$M87,AU$13))))</f>
        <v>1000000000000</v>
      </c>
      <c r="AV87" s="215">
        <f ca="1">IF($D87&lt;&gt;"Serviço",0,IF(AND(AUTOEVENTO="Manual",$M87=1),0,IF(OFFSET(CRONOPLE!$F$14,$M87,AV$13)="",10^12,OFFSET(CRONOPLE!$F$14,$M87,AV$13))))</f>
        <v>1000000000000</v>
      </c>
      <c r="AX87" s="216">
        <f ca="1">IF($D87&lt;&gt;"Serviço",0,IF(OR(AND(AUTOEVENTO="Manual",$M87=1),$M87&gt;(ROW(PLE.lastrow)-ROW(PLE.firstrow))),0,IF(OFFSET(PLE!$G$14,$M87,AX$13)="",10^12,OFFSET(PLE!$G$14,$M87,AX$13))))</f>
        <v>1000000000000</v>
      </c>
      <c r="AY87" s="216">
        <f ca="1">IF($D87&lt;&gt;"Serviço",0,IF(OR(AND(AUTOEVENTO="Manual",$M87=1),$M87&gt;(ROW(PLE.lastrow)-ROW(PLE.firstrow))),0,IF(OFFSET(PLE!$G$14,$M87,AY$13)="",10^12,OFFSET(PLE!$G$14,$M87,AY$13))))</f>
        <v>1000000000000</v>
      </c>
      <c r="AZ87" s="216">
        <f ca="1">IF($D87&lt;&gt;"Serviço",0,IF(OR(AND(AUTOEVENTO="Manual",$M87=1),$M87&gt;(ROW(PLE.lastrow)-ROW(PLE.firstrow))),0,IF(OFFSET(PLE!$G$14,$M87,AZ$13)="",10^12,OFFSET(PLE!$G$14,$M87,AZ$13))))</f>
        <v>1000000000000</v>
      </c>
      <c r="BA87" s="216">
        <f ca="1">IF($D87&lt;&gt;"Serviço",0,IF(OR(AND(AUTOEVENTO="Manual",$M87=1),$M87&gt;(ROW(PLE.lastrow)-ROW(PLE.firstrow))),0,IF(OFFSET(PLE!$G$14,$M87,BA$13)="",10^12,OFFSET(PLE!$G$14,$M87,BA$13))))</f>
        <v>1000000000000</v>
      </c>
      <c r="BB87" s="216">
        <f ca="1">IF($D87&lt;&gt;"Serviço",0,IF(OR(AND(AUTOEVENTO="Manual",$M87=1),$M87&gt;(ROW(PLE.lastrow)-ROW(PLE.firstrow))),0,IF(OFFSET(PLE!$G$14,$M87,BB$13)="",10^12,OFFSET(PLE!$G$14,$M87,BB$13))))</f>
        <v>1000000000000</v>
      </c>
      <c r="BC87" s="216">
        <f ca="1">IF($D87&lt;&gt;"Serviço",0,IF(OR(AND(AUTOEVENTO="Manual",$M87=1),$M87&gt;(ROW(PLE.lastrow)-ROW(PLE.firstrow))),0,IF(OFFSET(PLE!$G$14,$M87,BC$13)="",10^12,OFFSET(PLE!$G$14,$M87,BC$13))))</f>
        <v>1000000000000</v>
      </c>
      <c r="BD87" s="216">
        <f ca="1">IF($D87&lt;&gt;"Serviço",0,IF(OR(AND(AUTOEVENTO="Manual",$M87=1),$M87&gt;(ROW(PLE.lastrow)-ROW(PLE.firstrow))),0,IF(OFFSET(PLE!$G$14,$M87,BD$13)="",10^12,OFFSET(PLE!$G$14,$M87,BD$13))))</f>
        <v>1000000000000</v>
      </c>
      <c r="BE87" s="216">
        <f ca="1">IF($D87&lt;&gt;"Serviço",0,IF(OR(AND(AUTOEVENTO="Manual",$M87=1),$M87&gt;(ROW(PLE.lastrow)-ROW(PLE.firstrow))),0,IF(OFFSET(PLE!$G$14,$M87,BE$13)="",10^12,OFFSET(PLE!$G$14,$M87,BE$13))))</f>
        <v>1000000000000</v>
      </c>
      <c r="BF87" s="216">
        <f ca="1">IF($D87&lt;&gt;"Serviço",0,IF(OR(AND(AUTOEVENTO="Manual",$M87=1),$M87&gt;(ROW(PLE.lastrow)-ROW(PLE.firstrow))),0,IF(OFFSET(PLE!$G$14,$M87,BF$13)="",10^12,OFFSET(PLE!$G$14,$M87,BF$13))))</f>
        <v>1000000000000</v>
      </c>
      <c r="BG87" s="216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37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5" t="str">
        <f ca="1">OFFSET(ORÇAMENTO!N$15,ROW(D88)-ROW(D$15),0)</f>
        <v>Serviço</v>
      </c>
      <c r="E88" s="205" t="str">
        <f ca="1">OFFSET(ORÇAMENTO!O$15,ROW(E88)-ROW(E$15),0)</f>
        <v>-</v>
      </c>
      <c r="F88" s="206" t="str">
        <f ca="1">OFFSET(ORÇAMENTO!R$15,ROW(F88)-ROW(F$15),0)</f>
        <v>(abra o arquivo 'Referência 05-2023.xls)</v>
      </c>
      <c r="G88" s="207" t="str">
        <f ca="1">IF($D88&lt;&gt;"Serviço","",OFFSET(ORÇAMENTO!S$15,ROW(G88)-ROW(G$15),0))</f>
        <v>-</v>
      </c>
      <c r="H88" s="151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1"/>
      <c r="K88" s="208"/>
      <c r="L88" s="209" t="s">
        <v>254</v>
      </c>
      <c r="M88" s="210">
        <f ca="1">IF($D88&lt;&gt;"Serviço","",IF(AUTOEVENTO="manual",$A88,IF(ISERROR(MATCH($A88,$A$15:OFFSET($A88,-1,0),0)),MAX($M$15:OFFSET(M88,-1,0))+1,INDEX($M$15:OFFSET(M88,-1,0),MATCH($A88,$A$15:OFFSET($A88,-1,0),0)))))</f>
        <v>5</v>
      </c>
      <c r="N88" s="211" t="str">
        <f ca="1">IF($D88&lt;&gt;"Serviço","",IF(AUTOEVENTO="Manual",IF($A88=0,"&lt;-- defina o número do agrupador",OFFSET(EVENTOS!$D$14,$A88,0)),OFFSET($F$15,$A88,0)))</f>
        <v>PINTURAS E TEXTURAS</v>
      </c>
      <c r="O88" s="212"/>
      <c r="Q88" s="212"/>
      <c r="R88" s="213"/>
      <c r="S88" s="213"/>
      <c r="T88" s="213"/>
      <c r="U88" s="213"/>
      <c r="V88" s="213"/>
      <c r="W88" s="213"/>
      <c r="X88" s="213"/>
      <c r="Y88" s="213"/>
      <c r="Z88" s="214"/>
      <c r="AB88" s="592">
        <f ca="1">IF(AND($D88="Serviço",AB$12&lt;&gt;0,$H88&gt;0,OR(AUTOEVENTO&lt;&gt;"manual",$M88&lt;&gt;1)),ROUND(OFFSET($P88,0,AB$13),15-13*ORÇAMENTO!$AF$7)/$H88*OFFSET(ORÇAMENTO!$X$15,ROW(AB88)-ROW(AB$15),0),0)</f>
        <v>0</v>
      </c>
      <c r="AC88" s="593">
        <f ca="1">IF(AND($D88="Serviço",AC$12&lt;&gt;0,$H88&gt;0,OR(AUTOEVENTO&lt;&gt;"manual",$M88&lt;&gt;1)),ROUND(OFFSET($P88,0,AC$13),15-13*ORÇAMENTO!$AF$7)/$H88*OFFSET(ORÇAMENTO!$X$15,ROW(AC88)-ROW(AC$15),0),0)</f>
        <v>0</v>
      </c>
      <c r="AD88" s="593">
        <f ca="1">IF(AND($D88="Serviço",AD$12&lt;&gt;0,$H88&gt;0,OR(AUTOEVENTO&lt;&gt;"manual",$M88&lt;&gt;1)),ROUND(OFFSET($P88,0,AD$13),15-13*ORÇAMENTO!$AF$7)/$H88*OFFSET(ORÇAMENTO!$X$15,ROW(AD88)-ROW(AD$15),0),0)</f>
        <v>0</v>
      </c>
      <c r="AE88" s="593">
        <f ca="1">IF(AND($D88="Serviço",AE$12&lt;&gt;0,$H88&gt;0,OR(AUTOEVENTO&lt;&gt;"manual",$M88&lt;&gt;1)),ROUND(OFFSET($P88,0,AE$13),15-13*ORÇAMENTO!$AF$7)/$H88*OFFSET(ORÇAMENTO!$X$15,ROW(AE88)-ROW(AE$15),0),0)</f>
        <v>0</v>
      </c>
      <c r="AF88" s="593">
        <f ca="1">IF(AND($D88="Serviço",AF$12&lt;&gt;0,$H88&gt;0,OR(AUTOEVENTO&lt;&gt;"manual",$M88&lt;&gt;1)),ROUND(OFFSET($P88,0,AF$13),15-13*ORÇAMENTO!$AF$7)/$H88*OFFSET(ORÇAMENTO!$X$15,ROW(AF88)-ROW(AF$15),0),0)</f>
        <v>0</v>
      </c>
      <c r="AG88" s="593">
        <f ca="1">IF(AND($D88="Serviço",AG$12&lt;&gt;0,$H88&gt;0,OR(AUTOEVENTO&lt;&gt;"manual",$M88&lt;&gt;1)),ROUND(OFFSET($P88,0,AG$13),15-13*ORÇAMENTO!$AF$7)/$H88*OFFSET(ORÇAMENTO!$X$15,ROW(AG88)-ROW(AG$15),0),0)</f>
        <v>0</v>
      </c>
      <c r="AH88" s="593">
        <f ca="1">IF(AND($D88="Serviço",AH$12&lt;&gt;0,$H88&gt;0,OR(AUTOEVENTO&lt;&gt;"manual",$M88&lt;&gt;1)),ROUND(OFFSET($P88,0,AH$13),15-13*ORÇAMENTO!$AF$7)/$H88*OFFSET(ORÇAMENTO!$X$15,ROW(AH88)-ROW(AH$15),0),0)</f>
        <v>0</v>
      </c>
      <c r="AI88" s="593">
        <f ca="1">IF(AND($D88="Serviço",AI$12&lt;&gt;0,$H88&gt;0,OR(AUTOEVENTO&lt;&gt;"manual",$M88&lt;&gt;1)),ROUND(OFFSET($P88,0,AI$13),15-13*ORÇAMENTO!$AF$7)/$H88*OFFSET(ORÇAMENTO!$X$15,ROW(AI88)-ROW(AI$15),0),0)</f>
        <v>0</v>
      </c>
      <c r="AJ88" s="593">
        <f ca="1">IF(AND($D88="Serviço",AJ$12&lt;&gt;0,$H88&gt;0,OR(AUTOEVENTO&lt;&gt;"manual",$M88&lt;&gt;1)),ROUND(OFFSET($P88,0,AJ$13),15-13*ORÇAMENTO!$AF$7)/$H88*OFFSET(ORÇAMENTO!$X$15,ROW(AJ88)-ROW(AJ$15),0),0)</f>
        <v>0</v>
      </c>
      <c r="AK88" s="594">
        <f ca="1">IF(AND($D88="Serviço",AK$12&lt;&gt;0,$H88&gt;0,OR(AUTOEVENTO&lt;&gt;"manual",$M88&lt;&gt;1)),ROUND(OFFSET($P88,0,AK$13),15-13*ORÇAMENTO!$AF$7)/$H88*OFFSET(ORÇAMENTO!$X$15,ROW(AK88)-ROW(AK$15),0),0)</f>
        <v>0</v>
      </c>
      <c r="AM88" s="215">
        <f ca="1">IF($D88&lt;&gt;"Serviço",0,IF(AND(AUTOEVENTO="Manual",$M88=1),0,IF(OFFSET(CRONOPLE!$F$14,$M88,AM$13)="",10^12,OFFSET(CRONOPLE!$F$14,$M88,AM$13))))</f>
        <v>2</v>
      </c>
      <c r="AN88" s="215">
        <f ca="1">IF($D88&lt;&gt;"Serviço",0,IF(AND(AUTOEVENTO="Manual",$M88=1),0,IF(OFFSET(CRONOPLE!$F$14,$M88,AN$13)="",10^12,OFFSET(CRONOPLE!$F$14,$M88,AN$13))))</f>
        <v>2</v>
      </c>
      <c r="AO88" s="215">
        <f ca="1">IF($D88&lt;&gt;"Serviço",0,IF(AND(AUTOEVENTO="Manual",$M88=1),0,IF(OFFSET(CRONOPLE!$F$14,$M88,AO$13)="",10^12,OFFSET(CRONOPLE!$F$14,$M88,AO$13))))</f>
        <v>3</v>
      </c>
      <c r="AP88" s="215">
        <f ca="1">IF($D88&lt;&gt;"Serviço",0,IF(AND(AUTOEVENTO="Manual",$M88=1),0,IF(OFFSET(CRONOPLE!$F$14,$M88,AP$13)="",10^12,OFFSET(CRONOPLE!$F$14,$M88,AP$13))))</f>
        <v>1000000000000</v>
      </c>
      <c r="AQ88" s="215">
        <f ca="1">IF($D88&lt;&gt;"Serviço",0,IF(AND(AUTOEVENTO="Manual",$M88=1),0,IF(OFFSET(CRONOPLE!$F$14,$M88,AQ$13)="",10^12,OFFSET(CRONOPLE!$F$14,$M88,AQ$13))))</f>
        <v>1000000000000</v>
      </c>
      <c r="AR88" s="215">
        <f ca="1">IF($D88&lt;&gt;"Serviço",0,IF(AND(AUTOEVENTO="Manual",$M88=1),0,IF(OFFSET(CRONOPLE!$F$14,$M88,AR$13)="",10^12,OFFSET(CRONOPLE!$F$14,$M88,AR$13))))</f>
        <v>1000000000000</v>
      </c>
      <c r="AS88" s="215">
        <f ca="1">IF($D88&lt;&gt;"Serviço",0,IF(AND(AUTOEVENTO="Manual",$M88=1),0,IF(OFFSET(CRONOPLE!$F$14,$M88,AS$13)="",10^12,OFFSET(CRONOPLE!$F$14,$M88,AS$13))))</f>
        <v>1000000000000</v>
      </c>
      <c r="AT88" s="215">
        <f ca="1">IF($D88&lt;&gt;"Serviço",0,IF(AND(AUTOEVENTO="Manual",$M88=1),0,IF(OFFSET(CRONOPLE!$F$14,$M88,AT$13)="",10^12,OFFSET(CRONOPLE!$F$14,$M88,AT$13))))</f>
        <v>1000000000000</v>
      </c>
      <c r="AU88" s="215">
        <f ca="1">IF($D88&lt;&gt;"Serviço",0,IF(AND(AUTOEVENTO="Manual",$M88=1),0,IF(OFFSET(CRONOPLE!$F$14,$M88,AU$13)="",10^12,OFFSET(CRONOPLE!$F$14,$M88,AU$13))))</f>
        <v>1000000000000</v>
      </c>
      <c r="AV88" s="215">
        <f ca="1">IF($D88&lt;&gt;"Serviço",0,IF(AND(AUTOEVENTO="Manual",$M88=1),0,IF(OFFSET(CRONOPLE!$F$14,$M88,AV$13)="",10^12,OFFSET(CRONOPLE!$F$14,$M88,AV$13))))</f>
        <v>1000000000000</v>
      </c>
      <c r="AX88" s="216">
        <f ca="1">IF($D88&lt;&gt;"Serviço",0,IF(OR(AND(AUTOEVENTO="Manual",$M88=1),$M88&gt;(ROW(PLE.lastrow)-ROW(PLE.firstrow))),0,IF(OFFSET(PLE!$G$14,$M88,AX$13)="",10^12,OFFSET(PLE!$G$14,$M88,AX$13))))</f>
        <v>1000000000000</v>
      </c>
      <c r="AY88" s="216">
        <f ca="1">IF($D88&lt;&gt;"Serviço",0,IF(OR(AND(AUTOEVENTO="Manual",$M88=1),$M88&gt;(ROW(PLE.lastrow)-ROW(PLE.firstrow))),0,IF(OFFSET(PLE!$G$14,$M88,AY$13)="",10^12,OFFSET(PLE!$G$14,$M88,AY$13))))</f>
        <v>1000000000000</v>
      </c>
      <c r="AZ88" s="216">
        <f ca="1">IF($D88&lt;&gt;"Serviço",0,IF(OR(AND(AUTOEVENTO="Manual",$M88=1),$M88&gt;(ROW(PLE.lastrow)-ROW(PLE.firstrow))),0,IF(OFFSET(PLE!$G$14,$M88,AZ$13)="",10^12,OFFSET(PLE!$G$14,$M88,AZ$13))))</f>
        <v>1000000000000</v>
      </c>
      <c r="BA88" s="216">
        <f ca="1">IF($D88&lt;&gt;"Serviço",0,IF(OR(AND(AUTOEVENTO="Manual",$M88=1),$M88&gt;(ROW(PLE.lastrow)-ROW(PLE.firstrow))),0,IF(OFFSET(PLE!$G$14,$M88,BA$13)="",10^12,OFFSET(PLE!$G$14,$M88,BA$13))))</f>
        <v>1000000000000</v>
      </c>
      <c r="BB88" s="216">
        <f ca="1">IF($D88&lt;&gt;"Serviço",0,IF(OR(AND(AUTOEVENTO="Manual",$M88=1),$M88&gt;(ROW(PLE.lastrow)-ROW(PLE.firstrow))),0,IF(OFFSET(PLE!$G$14,$M88,BB$13)="",10^12,OFFSET(PLE!$G$14,$M88,BB$13))))</f>
        <v>1000000000000</v>
      </c>
      <c r="BC88" s="216">
        <f ca="1">IF($D88&lt;&gt;"Serviço",0,IF(OR(AND(AUTOEVENTO="Manual",$M88=1),$M88&gt;(ROW(PLE.lastrow)-ROW(PLE.firstrow))),0,IF(OFFSET(PLE!$G$14,$M88,BC$13)="",10^12,OFFSET(PLE!$G$14,$M88,BC$13))))</f>
        <v>1000000000000</v>
      </c>
      <c r="BD88" s="216">
        <f ca="1">IF($D88&lt;&gt;"Serviço",0,IF(OR(AND(AUTOEVENTO="Manual",$M88=1),$M88&gt;(ROW(PLE.lastrow)-ROW(PLE.firstrow))),0,IF(OFFSET(PLE!$G$14,$M88,BD$13)="",10^12,OFFSET(PLE!$G$14,$M88,BD$13))))</f>
        <v>1000000000000</v>
      </c>
      <c r="BE88" s="216">
        <f ca="1">IF($D88&lt;&gt;"Serviço",0,IF(OR(AND(AUTOEVENTO="Manual",$M88=1),$M88&gt;(ROW(PLE.lastrow)-ROW(PLE.firstrow))),0,IF(OFFSET(PLE!$G$14,$M88,BE$13)="",10^12,OFFSET(PLE!$G$14,$M88,BE$13))))</f>
        <v>1000000000000</v>
      </c>
      <c r="BF88" s="216">
        <f ca="1">IF($D88&lt;&gt;"Serviço",0,IF(OR(AND(AUTOEVENTO="Manual",$M88=1),$M88&gt;(ROW(PLE.lastrow)-ROW(PLE.firstrow))),0,IF(OFFSET(PLE!$G$14,$M88,BF$13)="",10^12,OFFSET(PLE!$G$14,$M88,BF$13))))</f>
        <v>1000000000000</v>
      </c>
      <c r="BG88" s="216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37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5" t="str">
        <f ca="1">OFFSET(ORÇAMENTO!N$15,ROW(D89)-ROW(D$15),0)</f>
        <v>Serviço</v>
      </c>
      <c r="E89" s="205" t="str">
        <f ca="1">OFFSET(ORÇAMENTO!O$15,ROW(E89)-ROW(E$15),0)</f>
        <v>-</v>
      </c>
      <c r="F89" s="206" t="str">
        <f ca="1">OFFSET(ORÇAMENTO!R$15,ROW(F89)-ROW(F$15),0)</f>
        <v>(abra o arquivo 'Referência 05-2023.xls)</v>
      </c>
      <c r="G89" s="207" t="str">
        <f ca="1">IF($D89&lt;&gt;"Serviço","",OFFSET(ORÇAMENTO!S$15,ROW(G89)-ROW(G$15),0))</f>
        <v>-</v>
      </c>
      <c r="H89" s="151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1"/>
      <c r="K89" s="208"/>
      <c r="L89" s="209" t="s">
        <v>254</v>
      </c>
      <c r="M89" s="210">
        <f ca="1">IF($D89&lt;&gt;"Serviço","",IF(AUTOEVENTO="manual",$A89,IF(ISERROR(MATCH($A89,$A$15:OFFSET($A89,-1,0),0)),MAX($M$15:OFFSET(M89,-1,0))+1,INDEX($M$15:OFFSET(M89,-1,0),MATCH($A89,$A$15:OFFSET($A89,-1,0),0)))))</f>
        <v>5</v>
      </c>
      <c r="N89" s="211" t="str">
        <f ca="1">IF($D89&lt;&gt;"Serviço","",IF(AUTOEVENTO="Manual",IF($A89=0,"&lt;-- defina o número do agrupador",OFFSET(EVENTOS!$D$14,$A89,0)),OFFSET($F$15,$A89,0)))</f>
        <v>PINTURAS E TEXTURAS</v>
      </c>
      <c r="O89" s="212"/>
      <c r="Q89" s="212"/>
      <c r="R89" s="213"/>
      <c r="S89" s="213"/>
      <c r="T89" s="213"/>
      <c r="U89" s="213"/>
      <c r="V89" s="213"/>
      <c r="W89" s="213"/>
      <c r="X89" s="213"/>
      <c r="Y89" s="213"/>
      <c r="Z89" s="214"/>
      <c r="AB89" s="592">
        <f ca="1">IF(AND($D89="Serviço",AB$12&lt;&gt;0,$H89&gt;0,OR(AUTOEVENTO&lt;&gt;"manual",$M89&lt;&gt;1)),ROUND(OFFSET($P89,0,AB$13),15-13*ORÇAMENTO!$AF$7)/$H89*OFFSET(ORÇAMENTO!$X$15,ROW(AB89)-ROW(AB$15),0),0)</f>
        <v>0</v>
      </c>
      <c r="AC89" s="593">
        <f ca="1">IF(AND($D89="Serviço",AC$12&lt;&gt;0,$H89&gt;0,OR(AUTOEVENTO&lt;&gt;"manual",$M89&lt;&gt;1)),ROUND(OFFSET($P89,0,AC$13),15-13*ORÇAMENTO!$AF$7)/$H89*OFFSET(ORÇAMENTO!$X$15,ROW(AC89)-ROW(AC$15),0),0)</f>
        <v>0</v>
      </c>
      <c r="AD89" s="593">
        <f ca="1">IF(AND($D89="Serviço",AD$12&lt;&gt;0,$H89&gt;0,OR(AUTOEVENTO&lt;&gt;"manual",$M89&lt;&gt;1)),ROUND(OFFSET($P89,0,AD$13),15-13*ORÇAMENTO!$AF$7)/$H89*OFFSET(ORÇAMENTO!$X$15,ROW(AD89)-ROW(AD$15),0),0)</f>
        <v>0</v>
      </c>
      <c r="AE89" s="593">
        <f ca="1">IF(AND($D89="Serviço",AE$12&lt;&gt;0,$H89&gt;0,OR(AUTOEVENTO&lt;&gt;"manual",$M89&lt;&gt;1)),ROUND(OFFSET($P89,0,AE$13),15-13*ORÇAMENTO!$AF$7)/$H89*OFFSET(ORÇAMENTO!$X$15,ROW(AE89)-ROW(AE$15),0),0)</f>
        <v>0</v>
      </c>
      <c r="AF89" s="593">
        <f ca="1">IF(AND($D89="Serviço",AF$12&lt;&gt;0,$H89&gt;0,OR(AUTOEVENTO&lt;&gt;"manual",$M89&lt;&gt;1)),ROUND(OFFSET($P89,0,AF$13),15-13*ORÇAMENTO!$AF$7)/$H89*OFFSET(ORÇAMENTO!$X$15,ROW(AF89)-ROW(AF$15),0),0)</f>
        <v>0</v>
      </c>
      <c r="AG89" s="593">
        <f ca="1">IF(AND($D89="Serviço",AG$12&lt;&gt;0,$H89&gt;0,OR(AUTOEVENTO&lt;&gt;"manual",$M89&lt;&gt;1)),ROUND(OFFSET($P89,0,AG$13),15-13*ORÇAMENTO!$AF$7)/$H89*OFFSET(ORÇAMENTO!$X$15,ROW(AG89)-ROW(AG$15),0),0)</f>
        <v>0</v>
      </c>
      <c r="AH89" s="593">
        <f ca="1">IF(AND($D89="Serviço",AH$12&lt;&gt;0,$H89&gt;0,OR(AUTOEVENTO&lt;&gt;"manual",$M89&lt;&gt;1)),ROUND(OFFSET($P89,0,AH$13),15-13*ORÇAMENTO!$AF$7)/$H89*OFFSET(ORÇAMENTO!$X$15,ROW(AH89)-ROW(AH$15),0),0)</f>
        <v>0</v>
      </c>
      <c r="AI89" s="593">
        <f ca="1">IF(AND($D89="Serviço",AI$12&lt;&gt;0,$H89&gt;0,OR(AUTOEVENTO&lt;&gt;"manual",$M89&lt;&gt;1)),ROUND(OFFSET($P89,0,AI$13),15-13*ORÇAMENTO!$AF$7)/$H89*OFFSET(ORÇAMENTO!$X$15,ROW(AI89)-ROW(AI$15),0),0)</f>
        <v>0</v>
      </c>
      <c r="AJ89" s="593">
        <f ca="1">IF(AND($D89="Serviço",AJ$12&lt;&gt;0,$H89&gt;0,OR(AUTOEVENTO&lt;&gt;"manual",$M89&lt;&gt;1)),ROUND(OFFSET($P89,0,AJ$13),15-13*ORÇAMENTO!$AF$7)/$H89*OFFSET(ORÇAMENTO!$X$15,ROW(AJ89)-ROW(AJ$15),0),0)</f>
        <v>0</v>
      </c>
      <c r="AK89" s="594">
        <f ca="1">IF(AND($D89="Serviço",AK$12&lt;&gt;0,$H89&gt;0,OR(AUTOEVENTO&lt;&gt;"manual",$M89&lt;&gt;1)),ROUND(OFFSET($P89,0,AK$13),15-13*ORÇAMENTO!$AF$7)/$H89*OFFSET(ORÇAMENTO!$X$15,ROW(AK89)-ROW(AK$15),0),0)</f>
        <v>0</v>
      </c>
      <c r="AM89" s="215">
        <f ca="1">IF($D89&lt;&gt;"Serviço",0,IF(AND(AUTOEVENTO="Manual",$M89=1),0,IF(OFFSET(CRONOPLE!$F$14,$M89,AM$13)="",10^12,OFFSET(CRONOPLE!$F$14,$M89,AM$13))))</f>
        <v>2</v>
      </c>
      <c r="AN89" s="215">
        <f ca="1">IF($D89&lt;&gt;"Serviço",0,IF(AND(AUTOEVENTO="Manual",$M89=1),0,IF(OFFSET(CRONOPLE!$F$14,$M89,AN$13)="",10^12,OFFSET(CRONOPLE!$F$14,$M89,AN$13))))</f>
        <v>2</v>
      </c>
      <c r="AO89" s="215">
        <f ca="1">IF($D89&lt;&gt;"Serviço",0,IF(AND(AUTOEVENTO="Manual",$M89=1),0,IF(OFFSET(CRONOPLE!$F$14,$M89,AO$13)="",10^12,OFFSET(CRONOPLE!$F$14,$M89,AO$13))))</f>
        <v>3</v>
      </c>
      <c r="AP89" s="215">
        <f ca="1">IF($D89&lt;&gt;"Serviço",0,IF(AND(AUTOEVENTO="Manual",$M89=1),0,IF(OFFSET(CRONOPLE!$F$14,$M89,AP$13)="",10^12,OFFSET(CRONOPLE!$F$14,$M89,AP$13))))</f>
        <v>1000000000000</v>
      </c>
      <c r="AQ89" s="215">
        <f ca="1">IF($D89&lt;&gt;"Serviço",0,IF(AND(AUTOEVENTO="Manual",$M89=1),0,IF(OFFSET(CRONOPLE!$F$14,$M89,AQ$13)="",10^12,OFFSET(CRONOPLE!$F$14,$M89,AQ$13))))</f>
        <v>1000000000000</v>
      </c>
      <c r="AR89" s="215">
        <f ca="1">IF($D89&lt;&gt;"Serviço",0,IF(AND(AUTOEVENTO="Manual",$M89=1),0,IF(OFFSET(CRONOPLE!$F$14,$M89,AR$13)="",10^12,OFFSET(CRONOPLE!$F$14,$M89,AR$13))))</f>
        <v>1000000000000</v>
      </c>
      <c r="AS89" s="215">
        <f ca="1">IF($D89&lt;&gt;"Serviço",0,IF(AND(AUTOEVENTO="Manual",$M89=1),0,IF(OFFSET(CRONOPLE!$F$14,$M89,AS$13)="",10^12,OFFSET(CRONOPLE!$F$14,$M89,AS$13))))</f>
        <v>1000000000000</v>
      </c>
      <c r="AT89" s="215">
        <f ca="1">IF($D89&lt;&gt;"Serviço",0,IF(AND(AUTOEVENTO="Manual",$M89=1),0,IF(OFFSET(CRONOPLE!$F$14,$M89,AT$13)="",10^12,OFFSET(CRONOPLE!$F$14,$M89,AT$13))))</f>
        <v>1000000000000</v>
      </c>
      <c r="AU89" s="215">
        <f ca="1">IF($D89&lt;&gt;"Serviço",0,IF(AND(AUTOEVENTO="Manual",$M89=1),0,IF(OFFSET(CRONOPLE!$F$14,$M89,AU$13)="",10^12,OFFSET(CRONOPLE!$F$14,$M89,AU$13))))</f>
        <v>1000000000000</v>
      </c>
      <c r="AV89" s="215">
        <f ca="1">IF($D89&lt;&gt;"Serviço",0,IF(AND(AUTOEVENTO="Manual",$M89=1),0,IF(OFFSET(CRONOPLE!$F$14,$M89,AV$13)="",10^12,OFFSET(CRONOPLE!$F$14,$M89,AV$13))))</f>
        <v>1000000000000</v>
      </c>
      <c r="AX89" s="216">
        <f ca="1">IF($D89&lt;&gt;"Serviço",0,IF(OR(AND(AUTOEVENTO="Manual",$M89=1),$M89&gt;(ROW(PLE.lastrow)-ROW(PLE.firstrow))),0,IF(OFFSET(PLE!$G$14,$M89,AX$13)="",10^12,OFFSET(PLE!$G$14,$M89,AX$13))))</f>
        <v>1000000000000</v>
      </c>
      <c r="AY89" s="216">
        <f ca="1">IF($D89&lt;&gt;"Serviço",0,IF(OR(AND(AUTOEVENTO="Manual",$M89=1),$M89&gt;(ROW(PLE.lastrow)-ROW(PLE.firstrow))),0,IF(OFFSET(PLE!$G$14,$M89,AY$13)="",10^12,OFFSET(PLE!$G$14,$M89,AY$13))))</f>
        <v>1000000000000</v>
      </c>
      <c r="AZ89" s="216">
        <f ca="1">IF($D89&lt;&gt;"Serviço",0,IF(OR(AND(AUTOEVENTO="Manual",$M89=1),$M89&gt;(ROW(PLE.lastrow)-ROW(PLE.firstrow))),0,IF(OFFSET(PLE!$G$14,$M89,AZ$13)="",10^12,OFFSET(PLE!$G$14,$M89,AZ$13))))</f>
        <v>1000000000000</v>
      </c>
      <c r="BA89" s="216">
        <f ca="1">IF($D89&lt;&gt;"Serviço",0,IF(OR(AND(AUTOEVENTO="Manual",$M89=1),$M89&gt;(ROW(PLE.lastrow)-ROW(PLE.firstrow))),0,IF(OFFSET(PLE!$G$14,$M89,BA$13)="",10^12,OFFSET(PLE!$G$14,$M89,BA$13))))</f>
        <v>1000000000000</v>
      </c>
      <c r="BB89" s="216">
        <f ca="1">IF($D89&lt;&gt;"Serviço",0,IF(OR(AND(AUTOEVENTO="Manual",$M89=1),$M89&gt;(ROW(PLE.lastrow)-ROW(PLE.firstrow))),0,IF(OFFSET(PLE!$G$14,$M89,BB$13)="",10^12,OFFSET(PLE!$G$14,$M89,BB$13))))</f>
        <v>1000000000000</v>
      </c>
      <c r="BC89" s="216">
        <f ca="1">IF($D89&lt;&gt;"Serviço",0,IF(OR(AND(AUTOEVENTO="Manual",$M89=1),$M89&gt;(ROW(PLE.lastrow)-ROW(PLE.firstrow))),0,IF(OFFSET(PLE!$G$14,$M89,BC$13)="",10^12,OFFSET(PLE!$G$14,$M89,BC$13))))</f>
        <v>1000000000000</v>
      </c>
      <c r="BD89" s="216">
        <f ca="1">IF($D89&lt;&gt;"Serviço",0,IF(OR(AND(AUTOEVENTO="Manual",$M89=1),$M89&gt;(ROW(PLE.lastrow)-ROW(PLE.firstrow))),0,IF(OFFSET(PLE!$G$14,$M89,BD$13)="",10^12,OFFSET(PLE!$G$14,$M89,BD$13))))</f>
        <v>1000000000000</v>
      </c>
      <c r="BE89" s="216">
        <f ca="1">IF($D89&lt;&gt;"Serviço",0,IF(OR(AND(AUTOEVENTO="Manual",$M89=1),$M89&gt;(ROW(PLE.lastrow)-ROW(PLE.firstrow))),0,IF(OFFSET(PLE!$G$14,$M89,BE$13)="",10^12,OFFSET(PLE!$G$14,$M89,BE$13))))</f>
        <v>1000000000000</v>
      </c>
      <c r="BF89" s="216">
        <f ca="1">IF($D89&lt;&gt;"Serviço",0,IF(OR(AND(AUTOEVENTO="Manual",$M89=1),$M89&gt;(ROW(PLE.lastrow)-ROW(PLE.firstrow))),0,IF(OFFSET(PLE!$G$14,$M89,BF$13)="",10^12,OFFSET(PLE!$G$14,$M89,BF$13))))</f>
        <v>1000000000000</v>
      </c>
      <c r="BG89" s="216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37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5" t="str">
        <f ca="1">OFFSET(ORÇAMENTO!N$15,ROW(D90)-ROW(D$15),0)</f>
        <v>Serviço</v>
      </c>
      <c r="E90" s="205" t="str">
        <f ca="1">OFFSET(ORÇAMENTO!O$15,ROW(E90)-ROW(E$15),0)</f>
        <v>-</v>
      </c>
      <c r="F90" s="206" t="str">
        <f ca="1">OFFSET(ORÇAMENTO!R$15,ROW(F90)-ROW(F$15),0)</f>
        <v>(abra o arquivo 'Referência 05-2023.xls)</v>
      </c>
      <c r="G90" s="207" t="str">
        <f ca="1">IF($D90&lt;&gt;"Serviço","",OFFSET(ORÇAMENTO!S$15,ROW(G90)-ROW(G$15),0))</f>
        <v>-</v>
      </c>
      <c r="H90" s="151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1"/>
      <c r="K90" s="208"/>
      <c r="L90" s="209" t="s">
        <v>254</v>
      </c>
      <c r="M90" s="210">
        <f ca="1">IF($D90&lt;&gt;"Serviço","",IF(AUTOEVENTO="manual",$A90,IF(ISERROR(MATCH($A90,$A$15:OFFSET($A90,-1,0),0)),MAX($M$15:OFFSET(M90,-1,0))+1,INDEX($M$15:OFFSET(M90,-1,0),MATCH($A90,$A$15:OFFSET($A90,-1,0),0)))))</f>
        <v>5</v>
      </c>
      <c r="N90" s="211" t="str">
        <f ca="1">IF($D90&lt;&gt;"Serviço","",IF(AUTOEVENTO="Manual",IF($A90=0,"&lt;-- defina o número do agrupador",OFFSET(EVENTOS!$D$14,$A90,0)),OFFSET($F$15,$A90,0)))</f>
        <v>PINTURAS E TEXTURAS</v>
      </c>
      <c r="O90" s="212"/>
      <c r="Q90" s="212"/>
      <c r="R90" s="213"/>
      <c r="S90" s="213"/>
      <c r="T90" s="213"/>
      <c r="U90" s="213"/>
      <c r="V90" s="213"/>
      <c r="W90" s="213"/>
      <c r="X90" s="213"/>
      <c r="Y90" s="213"/>
      <c r="Z90" s="214"/>
      <c r="AB90" s="592">
        <f ca="1">IF(AND($D90="Serviço",AB$12&lt;&gt;0,$H90&gt;0,OR(AUTOEVENTO&lt;&gt;"manual",$M90&lt;&gt;1)),ROUND(OFFSET($P90,0,AB$13),15-13*ORÇAMENTO!$AF$7)/$H90*OFFSET(ORÇAMENTO!$X$15,ROW(AB90)-ROW(AB$15),0),0)</f>
        <v>0</v>
      </c>
      <c r="AC90" s="593">
        <f ca="1">IF(AND($D90="Serviço",AC$12&lt;&gt;0,$H90&gt;0,OR(AUTOEVENTO&lt;&gt;"manual",$M90&lt;&gt;1)),ROUND(OFFSET($P90,0,AC$13),15-13*ORÇAMENTO!$AF$7)/$H90*OFFSET(ORÇAMENTO!$X$15,ROW(AC90)-ROW(AC$15),0),0)</f>
        <v>0</v>
      </c>
      <c r="AD90" s="593">
        <f ca="1">IF(AND($D90="Serviço",AD$12&lt;&gt;0,$H90&gt;0,OR(AUTOEVENTO&lt;&gt;"manual",$M90&lt;&gt;1)),ROUND(OFFSET($P90,0,AD$13),15-13*ORÇAMENTO!$AF$7)/$H90*OFFSET(ORÇAMENTO!$X$15,ROW(AD90)-ROW(AD$15),0),0)</f>
        <v>0</v>
      </c>
      <c r="AE90" s="593">
        <f ca="1">IF(AND($D90="Serviço",AE$12&lt;&gt;0,$H90&gt;0,OR(AUTOEVENTO&lt;&gt;"manual",$M90&lt;&gt;1)),ROUND(OFFSET($P90,0,AE$13),15-13*ORÇAMENTO!$AF$7)/$H90*OFFSET(ORÇAMENTO!$X$15,ROW(AE90)-ROW(AE$15),0),0)</f>
        <v>0</v>
      </c>
      <c r="AF90" s="593">
        <f ca="1">IF(AND($D90="Serviço",AF$12&lt;&gt;0,$H90&gt;0,OR(AUTOEVENTO&lt;&gt;"manual",$M90&lt;&gt;1)),ROUND(OFFSET($P90,0,AF$13),15-13*ORÇAMENTO!$AF$7)/$H90*OFFSET(ORÇAMENTO!$X$15,ROW(AF90)-ROW(AF$15),0),0)</f>
        <v>0</v>
      </c>
      <c r="AG90" s="593">
        <f ca="1">IF(AND($D90="Serviço",AG$12&lt;&gt;0,$H90&gt;0,OR(AUTOEVENTO&lt;&gt;"manual",$M90&lt;&gt;1)),ROUND(OFFSET($P90,0,AG$13),15-13*ORÇAMENTO!$AF$7)/$H90*OFFSET(ORÇAMENTO!$X$15,ROW(AG90)-ROW(AG$15),0),0)</f>
        <v>0</v>
      </c>
      <c r="AH90" s="593">
        <f ca="1">IF(AND($D90="Serviço",AH$12&lt;&gt;0,$H90&gt;0,OR(AUTOEVENTO&lt;&gt;"manual",$M90&lt;&gt;1)),ROUND(OFFSET($P90,0,AH$13),15-13*ORÇAMENTO!$AF$7)/$H90*OFFSET(ORÇAMENTO!$X$15,ROW(AH90)-ROW(AH$15),0),0)</f>
        <v>0</v>
      </c>
      <c r="AI90" s="593">
        <f ca="1">IF(AND($D90="Serviço",AI$12&lt;&gt;0,$H90&gt;0,OR(AUTOEVENTO&lt;&gt;"manual",$M90&lt;&gt;1)),ROUND(OFFSET($P90,0,AI$13),15-13*ORÇAMENTO!$AF$7)/$H90*OFFSET(ORÇAMENTO!$X$15,ROW(AI90)-ROW(AI$15),0),0)</f>
        <v>0</v>
      </c>
      <c r="AJ90" s="593">
        <f ca="1">IF(AND($D90="Serviço",AJ$12&lt;&gt;0,$H90&gt;0,OR(AUTOEVENTO&lt;&gt;"manual",$M90&lt;&gt;1)),ROUND(OFFSET($P90,0,AJ$13),15-13*ORÇAMENTO!$AF$7)/$H90*OFFSET(ORÇAMENTO!$X$15,ROW(AJ90)-ROW(AJ$15),0),0)</f>
        <v>0</v>
      </c>
      <c r="AK90" s="594">
        <f ca="1">IF(AND($D90="Serviço",AK$12&lt;&gt;0,$H90&gt;0,OR(AUTOEVENTO&lt;&gt;"manual",$M90&lt;&gt;1)),ROUND(OFFSET($P90,0,AK$13),15-13*ORÇAMENTO!$AF$7)/$H90*OFFSET(ORÇAMENTO!$X$15,ROW(AK90)-ROW(AK$15),0),0)</f>
        <v>0</v>
      </c>
      <c r="AM90" s="215">
        <f ca="1">IF($D90&lt;&gt;"Serviço",0,IF(AND(AUTOEVENTO="Manual",$M90=1),0,IF(OFFSET(CRONOPLE!$F$14,$M90,AM$13)="",10^12,OFFSET(CRONOPLE!$F$14,$M90,AM$13))))</f>
        <v>2</v>
      </c>
      <c r="AN90" s="215">
        <f ca="1">IF($D90&lt;&gt;"Serviço",0,IF(AND(AUTOEVENTO="Manual",$M90=1),0,IF(OFFSET(CRONOPLE!$F$14,$M90,AN$13)="",10^12,OFFSET(CRONOPLE!$F$14,$M90,AN$13))))</f>
        <v>2</v>
      </c>
      <c r="AO90" s="215">
        <f ca="1">IF($D90&lt;&gt;"Serviço",0,IF(AND(AUTOEVENTO="Manual",$M90=1),0,IF(OFFSET(CRONOPLE!$F$14,$M90,AO$13)="",10^12,OFFSET(CRONOPLE!$F$14,$M90,AO$13))))</f>
        <v>3</v>
      </c>
      <c r="AP90" s="215">
        <f ca="1">IF($D90&lt;&gt;"Serviço",0,IF(AND(AUTOEVENTO="Manual",$M90=1),0,IF(OFFSET(CRONOPLE!$F$14,$M90,AP$13)="",10^12,OFFSET(CRONOPLE!$F$14,$M90,AP$13))))</f>
        <v>1000000000000</v>
      </c>
      <c r="AQ90" s="215">
        <f ca="1">IF($D90&lt;&gt;"Serviço",0,IF(AND(AUTOEVENTO="Manual",$M90=1),0,IF(OFFSET(CRONOPLE!$F$14,$M90,AQ$13)="",10^12,OFFSET(CRONOPLE!$F$14,$M90,AQ$13))))</f>
        <v>1000000000000</v>
      </c>
      <c r="AR90" s="215">
        <f ca="1">IF($D90&lt;&gt;"Serviço",0,IF(AND(AUTOEVENTO="Manual",$M90=1),0,IF(OFFSET(CRONOPLE!$F$14,$M90,AR$13)="",10^12,OFFSET(CRONOPLE!$F$14,$M90,AR$13))))</f>
        <v>1000000000000</v>
      </c>
      <c r="AS90" s="215">
        <f ca="1">IF($D90&lt;&gt;"Serviço",0,IF(AND(AUTOEVENTO="Manual",$M90=1),0,IF(OFFSET(CRONOPLE!$F$14,$M90,AS$13)="",10^12,OFFSET(CRONOPLE!$F$14,$M90,AS$13))))</f>
        <v>1000000000000</v>
      </c>
      <c r="AT90" s="215">
        <f ca="1">IF($D90&lt;&gt;"Serviço",0,IF(AND(AUTOEVENTO="Manual",$M90=1),0,IF(OFFSET(CRONOPLE!$F$14,$M90,AT$13)="",10^12,OFFSET(CRONOPLE!$F$14,$M90,AT$13))))</f>
        <v>1000000000000</v>
      </c>
      <c r="AU90" s="215">
        <f ca="1">IF($D90&lt;&gt;"Serviço",0,IF(AND(AUTOEVENTO="Manual",$M90=1),0,IF(OFFSET(CRONOPLE!$F$14,$M90,AU$13)="",10^12,OFFSET(CRONOPLE!$F$14,$M90,AU$13))))</f>
        <v>1000000000000</v>
      </c>
      <c r="AV90" s="215">
        <f ca="1">IF($D90&lt;&gt;"Serviço",0,IF(AND(AUTOEVENTO="Manual",$M90=1),0,IF(OFFSET(CRONOPLE!$F$14,$M90,AV$13)="",10^12,OFFSET(CRONOPLE!$F$14,$M90,AV$13))))</f>
        <v>1000000000000</v>
      </c>
      <c r="AX90" s="216">
        <f ca="1">IF($D90&lt;&gt;"Serviço",0,IF(OR(AND(AUTOEVENTO="Manual",$M90=1),$M90&gt;(ROW(PLE.lastrow)-ROW(PLE.firstrow))),0,IF(OFFSET(PLE!$G$14,$M90,AX$13)="",10^12,OFFSET(PLE!$G$14,$M90,AX$13))))</f>
        <v>1000000000000</v>
      </c>
      <c r="AY90" s="216">
        <f ca="1">IF($D90&lt;&gt;"Serviço",0,IF(OR(AND(AUTOEVENTO="Manual",$M90=1),$M90&gt;(ROW(PLE.lastrow)-ROW(PLE.firstrow))),0,IF(OFFSET(PLE!$G$14,$M90,AY$13)="",10^12,OFFSET(PLE!$G$14,$M90,AY$13))))</f>
        <v>1000000000000</v>
      </c>
      <c r="AZ90" s="216">
        <f ca="1">IF($D90&lt;&gt;"Serviço",0,IF(OR(AND(AUTOEVENTO="Manual",$M90=1),$M90&gt;(ROW(PLE.lastrow)-ROW(PLE.firstrow))),0,IF(OFFSET(PLE!$G$14,$M90,AZ$13)="",10^12,OFFSET(PLE!$G$14,$M90,AZ$13))))</f>
        <v>1000000000000</v>
      </c>
      <c r="BA90" s="216">
        <f ca="1">IF($D90&lt;&gt;"Serviço",0,IF(OR(AND(AUTOEVENTO="Manual",$M90=1),$M90&gt;(ROW(PLE.lastrow)-ROW(PLE.firstrow))),0,IF(OFFSET(PLE!$G$14,$M90,BA$13)="",10^12,OFFSET(PLE!$G$14,$M90,BA$13))))</f>
        <v>1000000000000</v>
      </c>
      <c r="BB90" s="216">
        <f ca="1">IF($D90&lt;&gt;"Serviço",0,IF(OR(AND(AUTOEVENTO="Manual",$M90=1),$M90&gt;(ROW(PLE.lastrow)-ROW(PLE.firstrow))),0,IF(OFFSET(PLE!$G$14,$M90,BB$13)="",10^12,OFFSET(PLE!$G$14,$M90,BB$13))))</f>
        <v>1000000000000</v>
      </c>
      <c r="BC90" s="216">
        <f ca="1">IF($D90&lt;&gt;"Serviço",0,IF(OR(AND(AUTOEVENTO="Manual",$M90=1),$M90&gt;(ROW(PLE.lastrow)-ROW(PLE.firstrow))),0,IF(OFFSET(PLE!$G$14,$M90,BC$13)="",10^12,OFFSET(PLE!$G$14,$M90,BC$13))))</f>
        <v>1000000000000</v>
      </c>
      <c r="BD90" s="216">
        <f ca="1">IF($D90&lt;&gt;"Serviço",0,IF(OR(AND(AUTOEVENTO="Manual",$M90=1),$M90&gt;(ROW(PLE.lastrow)-ROW(PLE.firstrow))),0,IF(OFFSET(PLE!$G$14,$M90,BD$13)="",10^12,OFFSET(PLE!$G$14,$M90,BD$13))))</f>
        <v>1000000000000</v>
      </c>
      <c r="BE90" s="216">
        <f ca="1">IF($D90&lt;&gt;"Serviço",0,IF(OR(AND(AUTOEVENTO="Manual",$M90=1),$M90&gt;(ROW(PLE.lastrow)-ROW(PLE.firstrow))),0,IF(OFFSET(PLE!$G$14,$M90,BE$13)="",10^12,OFFSET(PLE!$G$14,$M90,BE$13))))</f>
        <v>1000000000000</v>
      </c>
      <c r="BF90" s="216">
        <f ca="1">IF($D90&lt;&gt;"Serviço",0,IF(OR(AND(AUTOEVENTO="Manual",$M90=1),$M90&gt;(ROW(PLE.lastrow)-ROW(PLE.firstrow))),0,IF(OFFSET(PLE!$G$14,$M90,BF$13)="",10^12,OFFSET(PLE!$G$14,$M90,BF$13))))</f>
        <v>1000000000000</v>
      </c>
      <c r="BG90" s="216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37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5" t="str">
        <f ca="1">OFFSET(ORÇAMENTO!N$15,ROW(D91)-ROW(D$15),0)</f>
        <v>Serviço</v>
      </c>
      <c r="E91" s="205" t="str">
        <f ca="1">OFFSET(ORÇAMENTO!O$15,ROW(E91)-ROW(E$15),0)</f>
        <v>-</v>
      </c>
      <c r="F91" s="206" t="str">
        <f ca="1">OFFSET(ORÇAMENTO!R$15,ROW(F91)-ROW(F$15),0)</f>
        <v>(abra o arquivo 'Referência 05-2023.xls)</v>
      </c>
      <c r="G91" s="207" t="str">
        <f ca="1">IF($D91&lt;&gt;"Serviço","",OFFSET(ORÇAMENTO!S$15,ROW(G91)-ROW(G$15),0))</f>
        <v>-</v>
      </c>
      <c r="H91" s="151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1"/>
      <c r="K91" s="208"/>
      <c r="L91" s="209" t="s">
        <v>254</v>
      </c>
      <c r="M91" s="210">
        <f ca="1">IF($D91&lt;&gt;"Serviço","",IF(AUTOEVENTO="manual",$A91,IF(ISERROR(MATCH($A91,$A$15:OFFSET($A91,-1,0),0)),MAX($M$15:OFFSET(M91,-1,0))+1,INDEX($M$15:OFFSET(M91,-1,0),MATCH($A91,$A$15:OFFSET($A91,-1,0),0)))))</f>
        <v>5</v>
      </c>
      <c r="N91" s="211" t="str">
        <f ca="1">IF($D91&lt;&gt;"Serviço","",IF(AUTOEVENTO="Manual",IF($A91=0,"&lt;-- defina o número do agrupador",OFFSET(EVENTOS!$D$14,$A91,0)),OFFSET($F$15,$A91,0)))</f>
        <v>PINTURAS E TEXTURAS</v>
      </c>
      <c r="O91" s="212"/>
      <c r="Q91" s="212"/>
      <c r="R91" s="213"/>
      <c r="S91" s="213"/>
      <c r="T91" s="213"/>
      <c r="U91" s="213"/>
      <c r="V91" s="213"/>
      <c r="W91" s="213"/>
      <c r="X91" s="213"/>
      <c r="Y91" s="213"/>
      <c r="Z91" s="214"/>
      <c r="AB91" s="592">
        <f ca="1">IF(AND($D91="Serviço",AB$12&lt;&gt;0,$H91&gt;0,OR(AUTOEVENTO&lt;&gt;"manual",$M91&lt;&gt;1)),ROUND(OFFSET($P91,0,AB$13),15-13*ORÇAMENTO!$AF$7)/$H91*OFFSET(ORÇAMENTO!$X$15,ROW(AB91)-ROW(AB$15),0),0)</f>
        <v>0</v>
      </c>
      <c r="AC91" s="593">
        <f ca="1">IF(AND($D91="Serviço",AC$12&lt;&gt;0,$H91&gt;0,OR(AUTOEVENTO&lt;&gt;"manual",$M91&lt;&gt;1)),ROUND(OFFSET($P91,0,AC$13),15-13*ORÇAMENTO!$AF$7)/$H91*OFFSET(ORÇAMENTO!$X$15,ROW(AC91)-ROW(AC$15),0),0)</f>
        <v>0</v>
      </c>
      <c r="AD91" s="593">
        <f ca="1">IF(AND($D91="Serviço",AD$12&lt;&gt;0,$H91&gt;0,OR(AUTOEVENTO&lt;&gt;"manual",$M91&lt;&gt;1)),ROUND(OFFSET($P91,0,AD$13),15-13*ORÇAMENTO!$AF$7)/$H91*OFFSET(ORÇAMENTO!$X$15,ROW(AD91)-ROW(AD$15),0),0)</f>
        <v>0</v>
      </c>
      <c r="AE91" s="593">
        <f ca="1">IF(AND($D91="Serviço",AE$12&lt;&gt;0,$H91&gt;0,OR(AUTOEVENTO&lt;&gt;"manual",$M91&lt;&gt;1)),ROUND(OFFSET($P91,0,AE$13),15-13*ORÇAMENTO!$AF$7)/$H91*OFFSET(ORÇAMENTO!$X$15,ROW(AE91)-ROW(AE$15),0),0)</f>
        <v>0</v>
      </c>
      <c r="AF91" s="593">
        <f ca="1">IF(AND($D91="Serviço",AF$12&lt;&gt;0,$H91&gt;0,OR(AUTOEVENTO&lt;&gt;"manual",$M91&lt;&gt;1)),ROUND(OFFSET($P91,0,AF$13),15-13*ORÇAMENTO!$AF$7)/$H91*OFFSET(ORÇAMENTO!$X$15,ROW(AF91)-ROW(AF$15),0),0)</f>
        <v>0</v>
      </c>
      <c r="AG91" s="593">
        <f ca="1">IF(AND($D91="Serviço",AG$12&lt;&gt;0,$H91&gt;0,OR(AUTOEVENTO&lt;&gt;"manual",$M91&lt;&gt;1)),ROUND(OFFSET($P91,0,AG$13),15-13*ORÇAMENTO!$AF$7)/$H91*OFFSET(ORÇAMENTO!$X$15,ROW(AG91)-ROW(AG$15),0),0)</f>
        <v>0</v>
      </c>
      <c r="AH91" s="593">
        <f ca="1">IF(AND($D91="Serviço",AH$12&lt;&gt;0,$H91&gt;0,OR(AUTOEVENTO&lt;&gt;"manual",$M91&lt;&gt;1)),ROUND(OFFSET($P91,0,AH$13),15-13*ORÇAMENTO!$AF$7)/$H91*OFFSET(ORÇAMENTO!$X$15,ROW(AH91)-ROW(AH$15),0),0)</f>
        <v>0</v>
      </c>
      <c r="AI91" s="593">
        <f ca="1">IF(AND($D91="Serviço",AI$12&lt;&gt;0,$H91&gt;0,OR(AUTOEVENTO&lt;&gt;"manual",$M91&lt;&gt;1)),ROUND(OFFSET($P91,0,AI$13),15-13*ORÇAMENTO!$AF$7)/$H91*OFFSET(ORÇAMENTO!$X$15,ROW(AI91)-ROW(AI$15),0),0)</f>
        <v>0</v>
      </c>
      <c r="AJ91" s="593">
        <f ca="1">IF(AND($D91="Serviço",AJ$12&lt;&gt;0,$H91&gt;0,OR(AUTOEVENTO&lt;&gt;"manual",$M91&lt;&gt;1)),ROUND(OFFSET($P91,0,AJ$13),15-13*ORÇAMENTO!$AF$7)/$H91*OFFSET(ORÇAMENTO!$X$15,ROW(AJ91)-ROW(AJ$15),0),0)</f>
        <v>0</v>
      </c>
      <c r="AK91" s="594">
        <f ca="1">IF(AND($D91="Serviço",AK$12&lt;&gt;0,$H91&gt;0,OR(AUTOEVENTO&lt;&gt;"manual",$M91&lt;&gt;1)),ROUND(OFFSET($P91,0,AK$13),15-13*ORÇAMENTO!$AF$7)/$H91*OFFSET(ORÇAMENTO!$X$15,ROW(AK91)-ROW(AK$15),0),0)</f>
        <v>0</v>
      </c>
      <c r="AM91" s="215">
        <f ca="1">IF($D91&lt;&gt;"Serviço",0,IF(AND(AUTOEVENTO="Manual",$M91=1),0,IF(OFFSET(CRONOPLE!$F$14,$M91,AM$13)="",10^12,OFFSET(CRONOPLE!$F$14,$M91,AM$13))))</f>
        <v>2</v>
      </c>
      <c r="AN91" s="215">
        <f ca="1">IF($D91&lt;&gt;"Serviço",0,IF(AND(AUTOEVENTO="Manual",$M91=1),0,IF(OFFSET(CRONOPLE!$F$14,$M91,AN$13)="",10^12,OFFSET(CRONOPLE!$F$14,$M91,AN$13))))</f>
        <v>2</v>
      </c>
      <c r="AO91" s="215">
        <f ca="1">IF($D91&lt;&gt;"Serviço",0,IF(AND(AUTOEVENTO="Manual",$M91=1),0,IF(OFFSET(CRONOPLE!$F$14,$M91,AO$13)="",10^12,OFFSET(CRONOPLE!$F$14,$M91,AO$13))))</f>
        <v>3</v>
      </c>
      <c r="AP91" s="215">
        <f ca="1">IF($D91&lt;&gt;"Serviço",0,IF(AND(AUTOEVENTO="Manual",$M91=1),0,IF(OFFSET(CRONOPLE!$F$14,$M91,AP$13)="",10^12,OFFSET(CRONOPLE!$F$14,$M91,AP$13))))</f>
        <v>1000000000000</v>
      </c>
      <c r="AQ91" s="215">
        <f ca="1">IF($D91&lt;&gt;"Serviço",0,IF(AND(AUTOEVENTO="Manual",$M91=1),0,IF(OFFSET(CRONOPLE!$F$14,$M91,AQ$13)="",10^12,OFFSET(CRONOPLE!$F$14,$M91,AQ$13))))</f>
        <v>1000000000000</v>
      </c>
      <c r="AR91" s="215">
        <f ca="1">IF($D91&lt;&gt;"Serviço",0,IF(AND(AUTOEVENTO="Manual",$M91=1),0,IF(OFFSET(CRONOPLE!$F$14,$M91,AR$13)="",10^12,OFFSET(CRONOPLE!$F$14,$M91,AR$13))))</f>
        <v>1000000000000</v>
      </c>
      <c r="AS91" s="215">
        <f ca="1">IF($D91&lt;&gt;"Serviço",0,IF(AND(AUTOEVENTO="Manual",$M91=1),0,IF(OFFSET(CRONOPLE!$F$14,$M91,AS$13)="",10^12,OFFSET(CRONOPLE!$F$14,$M91,AS$13))))</f>
        <v>1000000000000</v>
      </c>
      <c r="AT91" s="215">
        <f ca="1">IF($D91&lt;&gt;"Serviço",0,IF(AND(AUTOEVENTO="Manual",$M91=1),0,IF(OFFSET(CRONOPLE!$F$14,$M91,AT$13)="",10^12,OFFSET(CRONOPLE!$F$14,$M91,AT$13))))</f>
        <v>1000000000000</v>
      </c>
      <c r="AU91" s="215">
        <f ca="1">IF($D91&lt;&gt;"Serviço",0,IF(AND(AUTOEVENTO="Manual",$M91=1),0,IF(OFFSET(CRONOPLE!$F$14,$M91,AU$13)="",10^12,OFFSET(CRONOPLE!$F$14,$M91,AU$13))))</f>
        <v>1000000000000</v>
      </c>
      <c r="AV91" s="215">
        <f ca="1">IF($D91&lt;&gt;"Serviço",0,IF(AND(AUTOEVENTO="Manual",$M91=1),0,IF(OFFSET(CRONOPLE!$F$14,$M91,AV$13)="",10^12,OFFSET(CRONOPLE!$F$14,$M91,AV$13))))</f>
        <v>1000000000000</v>
      </c>
      <c r="AX91" s="216">
        <f ca="1">IF($D91&lt;&gt;"Serviço",0,IF(OR(AND(AUTOEVENTO="Manual",$M91=1),$M91&gt;(ROW(PLE.lastrow)-ROW(PLE.firstrow))),0,IF(OFFSET(PLE!$G$14,$M91,AX$13)="",10^12,OFFSET(PLE!$G$14,$M91,AX$13))))</f>
        <v>1000000000000</v>
      </c>
      <c r="AY91" s="216">
        <f ca="1">IF($D91&lt;&gt;"Serviço",0,IF(OR(AND(AUTOEVENTO="Manual",$M91=1),$M91&gt;(ROW(PLE.lastrow)-ROW(PLE.firstrow))),0,IF(OFFSET(PLE!$G$14,$M91,AY$13)="",10^12,OFFSET(PLE!$G$14,$M91,AY$13))))</f>
        <v>1000000000000</v>
      </c>
      <c r="AZ91" s="216">
        <f ca="1">IF($D91&lt;&gt;"Serviço",0,IF(OR(AND(AUTOEVENTO="Manual",$M91=1),$M91&gt;(ROW(PLE.lastrow)-ROW(PLE.firstrow))),0,IF(OFFSET(PLE!$G$14,$M91,AZ$13)="",10^12,OFFSET(PLE!$G$14,$M91,AZ$13))))</f>
        <v>1000000000000</v>
      </c>
      <c r="BA91" s="216">
        <f ca="1">IF($D91&lt;&gt;"Serviço",0,IF(OR(AND(AUTOEVENTO="Manual",$M91=1),$M91&gt;(ROW(PLE.lastrow)-ROW(PLE.firstrow))),0,IF(OFFSET(PLE!$G$14,$M91,BA$13)="",10^12,OFFSET(PLE!$G$14,$M91,BA$13))))</f>
        <v>1000000000000</v>
      </c>
      <c r="BB91" s="216">
        <f ca="1">IF($D91&lt;&gt;"Serviço",0,IF(OR(AND(AUTOEVENTO="Manual",$M91=1),$M91&gt;(ROW(PLE.lastrow)-ROW(PLE.firstrow))),0,IF(OFFSET(PLE!$G$14,$M91,BB$13)="",10^12,OFFSET(PLE!$G$14,$M91,BB$13))))</f>
        <v>1000000000000</v>
      </c>
      <c r="BC91" s="216">
        <f ca="1">IF($D91&lt;&gt;"Serviço",0,IF(OR(AND(AUTOEVENTO="Manual",$M91=1),$M91&gt;(ROW(PLE.lastrow)-ROW(PLE.firstrow))),0,IF(OFFSET(PLE!$G$14,$M91,BC$13)="",10^12,OFFSET(PLE!$G$14,$M91,BC$13))))</f>
        <v>1000000000000</v>
      </c>
      <c r="BD91" s="216">
        <f ca="1">IF($D91&lt;&gt;"Serviço",0,IF(OR(AND(AUTOEVENTO="Manual",$M91=1),$M91&gt;(ROW(PLE.lastrow)-ROW(PLE.firstrow))),0,IF(OFFSET(PLE!$G$14,$M91,BD$13)="",10^12,OFFSET(PLE!$G$14,$M91,BD$13))))</f>
        <v>1000000000000</v>
      </c>
      <c r="BE91" s="216">
        <f ca="1">IF($D91&lt;&gt;"Serviço",0,IF(OR(AND(AUTOEVENTO="Manual",$M91=1),$M91&gt;(ROW(PLE.lastrow)-ROW(PLE.firstrow))),0,IF(OFFSET(PLE!$G$14,$M91,BE$13)="",10^12,OFFSET(PLE!$G$14,$M91,BE$13))))</f>
        <v>1000000000000</v>
      </c>
      <c r="BF91" s="216">
        <f ca="1">IF($D91&lt;&gt;"Serviço",0,IF(OR(AND(AUTOEVENTO="Manual",$M91=1),$M91&gt;(ROW(PLE.lastrow)-ROW(PLE.firstrow))),0,IF(OFFSET(PLE!$G$14,$M91,BF$13)="",10^12,OFFSET(PLE!$G$14,$M91,BF$13))))</f>
        <v>1000000000000</v>
      </c>
      <c r="BG91" s="216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37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5" t="str">
        <f ca="1">OFFSET(ORÇAMENTO!N$15,ROW(D92)-ROW(D$15),0)</f>
        <v>Serviço</v>
      </c>
      <c r="E92" s="205" t="str">
        <f ca="1">OFFSET(ORÇAMENTO!O$15,ROW(E92)-ROW(E$15),0)</f>
        <v>-</v>
      </c>
      <c r="F92" s="206" t="str">
        <f ca="1">OFFSET(ORÇAMENTO!R$15,ROW(F92)-ROW(F$15),0)</f>
        <v>(abra o arquivo 'Referência 05-2023.xls)</v>
      </c>
      <c r="G92" s="207" t="str">
        <f ca="1">IF($D92&lt;&gt;"Serviço","",OFFSET(ORÇAMENTO!S$15,ROW(G92)-ROW(G$15),0))</f>
        <v>-</v>
      </c>
      <c r="H92" s="151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1"/>
      <c r="K92" s="208"/>
      <c r="L92" s="209" t="s">
        <v>254</v>
      </c>
      <c r="M92" s="210">
        <f ca="1">IF($D92&lt;&gt;"Serviço","",IF(AUTOEVENTO="manual",$A92,IF(ISERROR(MATCH($A92,$A$15:OFFSET($A92,-1,0),0)),MAX($M$15:OFFSET(M92,-1,0))+1,INDEX($M$15:OFFSET(M92,-1,0),MATCH($A92,$A$15:OFFSET($A92,-1,0),0)))))</f>
        <v>5</v>
      </c>
      <c r="N92" s="211" t="str">
        <f ca="1">IF($D92&lt;&gt;"Serviço","",IF(AUTOEVENTO="Manual",IF($A92=0,"&lt;-- defina o número do agrupador",OFFSET(EVENTOS!$D$14,$A92,0)),OFFSET($F$15,$A92,0)))</f>
        <v>PINTURAS E TEXTURAS</v>
      </c>
      <c r="O92" s="212"/>
      <c r="Q92" s="212"/>
      <c r="R92" s="213"/>
      <c r="S92" s="213"/>
      <c r="T92" s="213"/>
      <c r="U92" s="213"/>
      <c r="V92" s="213"/>
      <c r="W92" s="213"/>
      <c r="X92" s="213"/>
      <c r="Y92" s="213"/>
      <c r="Z92" s="214"/>
      <c r="AB92" s="592">
        <f ca="1">IF(AND($D92="Serviço",AB$12&lt;&gt;0,$H92&gt;0,OR(AUTOEVENTO&lt;&gt;"manual",$M92&lt;&gt;1)),ROUND(OFFSET($P92,0,AB$13),15-13*ORÇAMENTO!$AF$7)/$H92*OFFSET(ORÇAMENTO!$X$15,ROW(AB92)-ROW(AB$15),0),0)</f>
        <v>0</v>
      </c>
      <c r="AC92" s="593">
        <f ca="1">IF(AND($D92="Serviço",AC$12&lt;&gt;0,$H92&gt;0,OR(AUTOEVENTO&lt;&gt;"manual",$M92&lt;&gt;1)),ROUND(OFFSET($P92,0,AC$13),15-13*ORÇAMENTO!$AF$7)/$H92*OFFSET(ORÇAMENTO!$X$15,ROW(AC92)-ROW(AC$15),0),0)</f>
        <v>0</v>
      </c>
      <c r="AD92" s="593">
        <f ca="1">IF(AND($D92="Serviço",AD$12&lt;&gt;0,$H92&gt;0,OR(AUTOEVENTO&lt;&gt;"manual",$M92&lt;&gt;1)),ROUND(OFFSET($P92,0,AD$13),15-13*ORÇAMENTO!$AF$7)/$H92*OFFSET(ORÇAMENTO!$X$15,ROW(AD92)-ROW(AD$15),0),0)</f>
        <v>0</v>
      </c>
      <c r="AE92" s="593">
        <f ca="1">IF(AND($D92="Serviço",AE$12&lt;&gt;0,$H92&gt;0,OR(AUTOEVENTO&lt;&gt;"manual",$M92&lt;&gt;1)),ROUND(OFFSET($P92,0,AE$13),15-13*ORÇAMENTO!$AF$7)/$H92*OFFSET(ORÇAMENTO!$X$15,ROW(AE92)-ROW(AE$15),0),0)</f>
        <v>0</v>
      </c>
      <c r="AF92" s="593">
        <f ca="1">IF(AND($D92="Serviço",AF$12&lt;&gt;0,$H92&gt;0,OR(AUTOEVENTO&lt;&gt;"manual",$M92&lt;&gt;1)),ROUND(OFFSET($P92,0,AF$13),15-13*ORÇAMENTO!$AF$7)/$H92*OFFSET(ORÇAMENTO!$X$15,ROW(AF92)-ROW(AF$15),0),0)</f>
        <v>0</v>
      </c>
      <c r="AG92" s="593">
        <f ca="1">IF(AND($D92="Serviço",AG$12&lt;&gt;0,$H92&gt;0,OR(AUTOEVENTO&lt;&gt;"manual",$M92&lt;&gt;1)),ROUND(OFFSET($P92,0,AG$13),15-13*ORÇAMENTO!$AF$7)/$H92*OFFSET(ORÇAMENTO!$X$15,ROW(AG92)-ROW(AG$15),0),0)</f>
        <v>0</v>
      </c>
      <c r="AH92" s="593">
        <f ca="1">IF(AND($D92="Serviço",AH$12&lt;&gt;0,$H92&gt;0,OR(AUTOEVENTO&lt;&gt;"manual",$M92&lt;&gt;1)),ROUND(OFFSET($P92,0,AH$13),15-13*ORÇAMENTO!$AF$7)/$H92*OFFSET(ORÇAMENTO!$X$15,ROW(AH92)-ROW(AH$15),0),0)</f>
        <v>0</v>
      </c>
      <c r="AI92" s="593">
        <f ca="1">IF(AND($D92="Serviço",AI$12&lt;&gt;0,$H92&gt;0,OR(AUTOEVENTO&lt;&gt;"manual",$M92&lt;&gt;1)),ROUND(OFFSET($P92,0,AI$13),15-13*ORÇAMENTO!$AF$7)/$H92*OFFSET(ORÇAMENTO!$X$15,ROW(AI92)-ROW(AI$15),0),0)</f>
        <v>0</v>
      </c>
      <c r="AJ92" s="593">
        <f ca="1">IF(AND($D92="Serviço",AJ$12&lt;&gt;0,$H92&gt;0,OR(AUTOEVENTO&lt;&gt;"manual",$M92&lt;&gt;1)),ROUND(OFFSET($P92,0,AJ$13),15-13*ORÇAMENTO!$AF$7)/$H92*OFFSET(ORÇAMENTO!$X$15,ROW(AJ92)-ROW(AJ$15),0),0)</f>
        <v>0</v>
      </c>
      <c r="AK92" s="594">
        <f ca="1">IF(AND($D92="Serviço",AK$12&lt;&gt;0,$H92&gt;0,OR(AUTOEVENTO&lt;&gt;"manual",$M92&lt;&gt;1)),ROUND(OFFSET($P92,0,AK$13),15-13*ORÇAMENTO!$AF$7)/$H92*OFFSET(ORÇAMENTO!$X$15,ROW(AK92)-ROW(AK$15),0),0)</f>
        <v>0</v>
      </c>
      <c r="AM92" s="215">
        <f ca="1">IF($D92&lt;&gt;"Serviço",0,IF(AND(AUTOEVENTO="Manual",$M92=1),0,IF(OFFSET(CRONOPLE!$F$14,$M92,AM$13)="",10^12,OFFSET(CRONOPLE!$F$14,$M92,AM$13))))</f>
        <v>2</v>
      </c>
      <c r="AN92" s="215">
        <f ca="1">IF($D92&lt;&gt;"Serviço",0,IF(AND(AUTOEVENTO="Manual",$M92=1),0,IF(OFFSET(CRONOPLE!$F$14,$M92,AN$13)="",10^12,OFFSET(CRONOPLE!$F$14,$M92,AN$13))))</f>
        <v>2</v>
      </c>
      <c r="AO92" s="215">
        <f ca="1">IF($D92&lt;&gt;"Serviço",0,IF(AND(AUTOEVENTO="Manual",$M92=1),0,IF(OFFSET(CRONOPLE!$F$14,$M92,AO$13)="",10^12,OFFSET(CRONOPLE!$F$14,$M92,AO$13))))</f>
        <v>3</v>
      </c>
      <c r="AP92" s="215">
        <f ca="1">IF($D92&lt;&gt;"Serviço",0,IF(AND(AUTOEVENTO="Manual",$M92=1),0,IF(OFFSET(CRONOPLE!$F$14,$M92,AP$13)="",10^12,OFFSET(CRONOPLE!$F$14,$M92,AP$13))))</f>
        <v>1000000000000</v>
      </c>
      <c r="AQ92" s="215">
        <f ca="1">IF($D92&lt;&gt;"Serviço",0,IF(AND(AUTOEVENTO="Manual",$M92=1),0,IF(OFFSET(CRONOPLE!$F$14,$M92,AQ$13)="",10^12,OFFSET(CRONOPLE!$F$14,$M92,AQ$13))))</f>
        <v>1000000000000</v>
      </c>
      <c r="AR92" s="215">
        <f ca="1">IF($D92&lt;&gt;"Serviço",0,IF(AND(AUTOEVENTO="Manual",$M92=1),0,IF(OFFSET(CRONOPLE!$F$14,$M92,AR$13)="",10^12,OFFSET(CRONOPLE!$F$14,$M92,AR$13))))</f>
        <v>1000000000000</v>
      </c>
      <c r="AS92" s="215">
        <f ca="1">IF($D92&lt;&gt;"Serviço",0,IF(AND(AUTOEVENTO="Manual",$M92=1),0,IF(OFFSET(CRONOPLE!$F$14,$M92,AS$13)="",10^12,OFFSET(CRONOPLE!$F$14,$M92,AS$13))))</f>
        <v>1000000000000</v>
      </c>
      <c r="AT92" s="215">
        <f ca="1">IF($D92&lt;&gt;"Serviço",0,IF(AND(AUTOEVENTO="Manual",$M92=1),0,IF(OFFSET(CRONOPLE!$F$14,$M92,AT$13)="",10^12,OFFSET(CRONOPLE!$F$14,$M92,AT$13))))</f>
        <v>1000000000000</v>
      </c>
      <c r="AU92" s="215">
        <f ca="1">IF($D92&lt;&gt;"Serviço",0,IF(AND(AUTOEVENTO="Manual",$M92=1),0,IF(OFFSET(CRONOPLE!$F$14,$M92,AU$13)="",10^12,OFFSET(CRONOPLE!$F$14,$M92,AU$13))))</f>
        <v>1000000000000</v>
      </c>
      <c r="AV92" s="215">
        <f ca="1">IF($D92&lt;&gt;"Serviço",0,IF(AND(AUTOEVENTO="Manual",$M92=1),0,IF(OFFSET(CRONOPLE!$F$14,$M92,AV$13)="",10^12,OFFSET(CRONOPLE!$F$14,$M92,AV$13))))</f>
        <v>1000000000000</v>
      </c>
      <c r="AX92" s="216">
        <f ca="1">IF($D92&lt;&gt;"Serviço",0,IF(OR(AND(AUTOEVENTO="Manual",$M92=1),$M92&gt;(ROW(PLE.lastrow)-ROW(PLE.firstrow))),0,IF(OFFSET(PLE!$G$14,$M92,AX$13)="",10^12,OFFSET(PLE!$G$14,$M92,AX$13))))</f>
        <v>1000000000000</v>
      </c>
      <c r="AY92" s="216">
        <f ca="1">IF($D92&lt;&gt;"Serviço",0,IF(OR(AND(AUTOEVENTO="Manual",$M92=1),$M92&gt;(ROW(PLE.lastrow)-ROW(PLE.firstrow))),0,IF(OFFSET(PLE!$G$14,$M92,AY$13)="",10^12,OFFSET(PLE!$G$14,$M92,AY$13))))</f>
        <v>1000000000000</v>
      </c>
      <c r="AZ92" s="216">
        <f ca="1">IF($D92&lt;&gt;"Serviço",0,IF(OR(AND(AUTOEVENTO="Manual",$M92=1),$M92&gt;(ROW(PLE.lastrow)-ROW(PLE.firstrow))),0,IF(OFFSET(PLE!$G$14,$M92,AZ$13)="",10^12,OFFSET(PLE!$G$14,$M92,AZ$13))))</f>
        <v>1000000000000</v>
      </c>
      <c r="BA92" s="216">
        <f ca="1">IF($D92&lt;&gt;"Serviço",0,IF(OR(AND(AUTOEVENTO="Manual",$M92=1),$M92&gt;(ROW(PLE.lastrow)-ROW(PLE.firstrow))),0,IF(OFFSET(PLE!$G$14,$M92,BA$13)="",10^12,OFFSET(PLE!$G$14,$M92,BA$13))))</f>
        <v>1000000000000</v>
      </c>
      <c r="BB92" s="216">
        <f ca="1">IF($D92&lt;&gt;"Serviço",0,IF(OR(AND(AUTOEVENTO="Manual",$M92=1),$M92&gt;(ROW(PLE.lastrow)-ROW(PLE.firstrow))),0,IF(OFFSET(PLE!$G$14,$M92,BB$13)="",10^12,OFFSET(PLE!$G$14,$M92,BB$13))))</f>
        <v>1000000000000</v>
      </c>
      <c r="BC92" s="216">
        <f ca="1">IF($D92&lt;&gt;"Serviço",0,IF(OR(AND(AUTOEVENTO="Manual",$M92=1),$M92&gt;(ROW(PLE.lastrow)-ROW(PLE.firstrow))),0,IF(OFFSET(PLE!$G$14,$M92,BC$13)="",10^12,OFFSET(PLE!$G$14,$M92,BC$13))))</f>
        <v>1000000000000</v>
      </c>
      <c r="BD92" s="216">
        <f ca="1">IF($D92&lt;&gt;"Serviço",0,IF(OR(AND(AUTOEVENTO="Manual",$M92=1),$M92&gt;(ROW(PLE.lastrow)-ROW(PLE.firstrow))),0,IF(OFFSET(PLE!$G$14,$M92,BD$13)="",10^12,OFFSET(PLE!$G$14,$M92,BD$13))))</f>
        <v>1000000000000</v>
      </c>
      <c r="BE92" s="216">
        <f ca="1">IF($D92&lt;&gt;"Serviço",0,IF(OR(AND(AUTOEVENTO="Manual",$M92=1),$M92&gt;(ROW(PLE.lastrow)-ROW(PLE.firstrow))),0,IF(OFFSET(PLE!$G$14,$M92,BE$13)="",10^12,OFFSET(PLE!$G$14,$M92,BE$13))))</f>
        <v>1000000000000</v>
      </c>
      <c r="BF92" s="216">
        <f ca="1">IF($D92&lt;&gt;"Serviço",0,IF(OR(AND(AUTOEVENTO="Manual",$M92=1),$M92&gt;(ROW(PLE.lastrow)-ROW(PLE.firstrow))),0,IF(OFFSET(PLE!$G$14,$M92,BF$13)="",10^12,OFFSET(PLE!$G$14,$M92,BF$13))))</f>
        <v>1000000000000</v>
      </c>
      <c r="BG92" s="216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37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5" t="str">
        <f ca="1">OFFSET(ORÇAMENTO!N$15,ROW(D93)-ROW(D$15),0)</f>
        <v>Serviço</v>
      </c>
      <c r="E93" s="205" t="str">
        <f ca="1">OFFSET(ORÇAMENTO!O$15,ROW(E93)-ROW(E$15),0)</f>
        <v>-</v>
      </c>
      <c r="F93" s="206" t="str">
        <f ca="1">OFFSET(ORÇAMENTO!R$15,ROW(F93)-ROW(F$15),0)</f>
        <v>(abra o arquivo 'Referência 05-2023.xls)</v>
      </c>
      <c r="G93" s="207" t="str">
        <f ca="1">IF($D93&lt;&gt;"Serviço","",OFFSET(ORÇAMENTO!S$15,ROW(G93)-ROW(G$15),0))</f>
        <v>-</v>
      </c>
      <c r="H93" s="151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1"/>
      <c r="K93" s="208"/>
      <c r="L93" s="209" t="s">
        <v>254</v>
      </c>
      <c r="M93" s="210">
        <f ca="1">IF($D93&lt;&gt;"Serviço","",IF(AUTOEVENTO="manual",$A93,IF(ISERROR(MATCH($A93,$A$15:OFFSET($A93,-1,0),0)),MAX($M$15:OFFSET(M93,-1,0))+1,INDEX($M$15:OFFSET(M93,-1,0),MATCH($A93,$A$15:OFFSET($A93,-1,0),0)))))</f>
        <v>5</v>
      </c>
      <c r="N93" s="211" t="str">
        <f ca="1">IF($D93&lt;&gt;"Serviço","",IF(AUTOEVENTO="Manual",IF($A93=0,"&lt;-- defina o número do agrupador",OFFSET(EVENTOS!$D$14,$A93,0)),OFFSET($F$15,$A93,0)))</f>
        <v>PINTURAS E TEXTURAS</v>
      </c>
      <c r="O93" s="212"/>
      <c r="Q93" s="212"/>
      <c r="R93" s="213"/>
      <c r="S93" s="213"/>
      <c r="T93" s="213"/>
      <c r="U93" s="213"/>
      <c r="V93" s="213"/>
      <c r="W93" s="213"/>
      <c r="X93" s="213"/>
      <c r="Y93" s="213"/>
      <c r="Z93" s="214"/>
      <c r="AB93" s="592">
        <f ca="1">IF(AND($D93="Serviço",AB$12&lt;&gt;0,$H93&gt;0,OR(AUTOEVENTO&lt;&gt;"manual",$M93&lt;&gt;1)),ROUND(OFFSET($P93,0,AB$13),15-13*ORÇAMENTO!$AF$7)/$H93*OFFSET(ORÇAMENTO!$X$15,ROW(AB93)-ROW(AB$15),0),0)</f>
        <v>0</v>
      </c>
      <c r="AC93" s="593">
        <f ca="1">IF(AND($D93="Serviço",AC$12&lt;&gt;0,$H93&gt;0,OR(AUTOEVENTO&lt;&gt;"manual",$M93&lt;&gt;1)),ROUND(OFFSET($P93,0,AC$13),15-13*ORÇAMENTO!$AF$7)/$H93*OFFSET(ORÇAMENTO!$X$15,ROW(AC93)-ROW(AC$15),0),0)</f>
        <v>0</v>
      </c>
      <c r="AD93" s="593">
        <f ca="1">IF(AND($D93="Serviço",AD$12&lt;&gt;0,$H93&gt;0,OR(AUTOEVENTO&lt;&gt;"manual",$M93&lt;&gt;1)),ROUND(OFFSET($P93,0,AD$13),15-13*ORÇAMENTO!$AF$7)/$H93*OFFSET(ORÇAMENTO!$X$15,ROW(AD93)-ROW(AD$15),0),0)</f>
        <v>0</v>
      </c>
      <c r="AE93" s="593">
        <f ca="1">IF(AND($D93="Serviço",AE$12&lt;&gt;0,$H93&gt;0,OR(AUTOEVENTO&lt;&gt;"manual",$M93&lt;&gt;1)),ROUND(OFFSET($P93,0,AE$13),15-13*ORÇAMENTO!$AF$7)/$H93*OFFSET(ORÇAMENTO!$X$15,ROW(AE93)-ROW(AE$15),0),0)</f>
        <v>0</v>
      </c>
      <c r="AF93" s="593">
        <f ca="1">IF(AND($D93="Serviço",AF$12&lt;&gt;0,$H93&gt;0,OR(AUTOEVENTO&lt;&gt;"manual",$M93&lt;&gt;1)),ROUND(OFFSET($P93,0,AF$13),15-13*ORÇAMENTO!$AF$7)/$H93*OFFSET(ORÇAMENTO!$X$15,ROW(AF93)-ROW(AF$15),0),0)</f>
        <v>0</v>
      </c>
      <c r="AG93" s="593">
        <f ca="1">IF(AND($D93="Serviço",AG$12&lt;&gt;0,$H93&gt;0,OR(AUTOEVENTO&lt;&gt;"manual",$M93&lt;&gt;1)),ROUND(OFFSET($P93,0,AG$13),15-13*ORÇAMENTO!$AF$7)/$H93*OFFSET(ORÇAMENTO!$X$15,ROW(AG93)-ROW(AG$15),0),0)</f>
        <v>0</v>
      </c>
      <c r="AH93" s="593">
        <f ca="1">IF(AND($D93="Serviço",AH$12&lt;&gt;0,$H93&gt;0,OR(AUTOEVENTO&lt;&gt;"manual",$M93&lt;&gt;1)),ROUND(OFFSET($P93,0,AH$13),15-13*ORÇAMENTO!$AF$7)/$H93*OFFSET(ORÇAMENTO!$X$15,ROW(AH93)-ROW(AH$15),0),0)</f>
        <v>0</v>
      </c>
      <c r="AI93" s="593">
        <f ca="1">IF(AND($D93="Serviço",AI$12&lt;&gt;0,$H93&gt;0,OR(AUTOEVENTO&lt;&gt;"manual",$M93&lt;&gt;1)),ROUND(OFFSET($P93,0,AI$13),15-13*ORÇAMENTO!$AF$7)/$H93*OFFSET(ORÇAMENTO!$X$15,ROW(AI93)-ROW(AI$15),0),0)</f>
        <v>0</v>
      </c>
      <c r="AJ93" s="593">
        <f ca="1">IF(AND($D93="Serviço",AJ$12&lt;&gt;0,$H93&gt;0,OR(AUTOEVENTO&lt;&gt;"manual",$M93&lt;&gt;1)),ROUND(OFFSET($P93,0,AJ$13),15-13*ORÇAMENTO!$AF$7)/$H93*OFFSET(ORÇAMENTO!$X$15,ROW(AJ93)-ROW(AJ$15),0),0)</f>
        <v>0</v>
      </c>
      <c r="AK93" s="594">
        <f ca="1">IF(AND($D93="Serviço",AK$12&lt;&gt;0,$H93&gt;0,OR(AUTOEVENTO&lt;&gt;"manual",$M93&lt;&gt;1)),ROUND(OFFSET($P93,0,AK$13),15-13*ORÇAMENTO!$AF$7)/$H93*OFFSET(ORÇAMENTO!$X$15,ROW(AK93)-ROW(AK$15),0),0)</f>
        <v>0</v>
      </c>
      <c r="AM93" s="215">
        <f ca="1">IF($D93&lt;&gt;"Serviço",0,IF(AND(AUTOEVENTO="Manual",$M93=1),0,IF(OFFSET(CRONOPLE!$F$14,$M93,AM$13)="",10^12,OFFSET(CRONOPLE!$F$14,$M93,AM$13))))</f>
        <v>2</v>
      </c>
      <c r="AN93" s="215">
        <f ca="1">IF($D93&lt;&gt;"Serviço",0,IF(AND(AUTOEVENTO="Manual",$M93=1),0,IF(OFFSET(CRONOPLE!$F$14,$M93,AN$13)="",10^12,OFFSET(CRONOPLE!$F$14,$M93,AN$13))))</f>
        <v>2</v>
      </c>
      <c r="AO93" s="215">
        <f ca="1">IF($D93&lt;&gt;"Serviço",0,IF(AND(AUTOEVENTO="Manual",$M93=1),0,IF(OFFSET(CRONOPLE!$F$14,$M93,AO$13)="",10^12,OFFSET(CRONOPLE!$F$14,$M93,AO$13))))</f>
        <v>3</v>
      </c>
      <c r="AP93" s="215">
        <f ca="1">IF($D93&lt;&gt;"Serviço",0,IF(AND(AUTOEVENTO="Manual",$M93=1),0,IF(OFFSET(CRONOPLE!$F$14,$M93,AP$13)="",10^12,OFFSET(CRONOPLE!$F$14,$M93,AP$13))))</f>
        <v>1000000000000</v>
      </c>
      <c r="AQ93" s="215">
        <f ca="1">IF($D93&lt;&gt;"Serviço",0,IF(AND(AUTOEVENTO="Manual",$M93=1),0,IF(OFFSET(CRONOPLE!$F$14,$M93,AQ$13)="",10^12,OFFSET(CRONOPLE!$F$14,$M93,AQ$13))))</f>
        <v>1000000000000</v>
      </c>
      <c r="AR93" s="215">
        <f ca="1">IF($D93&lt;&gt;"Serviço",0,IF(AND(AUTOEVENTO="Manual",$M93=1),0,IF(OFFSET(CRONOPLE!$F$14,$M93,AR$13)="",10^12,OFFSET(CRONOPLE!$F$14,$M93,AR$13))))</f>
        <v>1000000000000</v>
      </c>
      <c r="AS93" s="215">
        <f ca="1">IF($D93&lt;&gt;"Serviço",0,IF(AND(AUTOEVENTO="Manual",$M93=1),0,IF(OFFSET(CRONOPLE!$F$14,$M93,AS$13)="",10^12,OFFSET(CRONOPLE!$F$14,$M93,AS$13))))</f>
        <v>1000000000000</v>
      </c>
      <c r="AT93" s="215">
        <f ca="1">IF($D93&lt;&gt;"Serviço",0,IF(AND(AUTOEVENTO="Manual",$M93=1),0,IF(OFFSET(CRONOPLE!$F$14,$M93,AT$13)="",10^12,OFFSET(CRONOPLE!$F$14,$M93,AT$13))))</f>
        <v>1000000000000</v>
      </c>
      <c r="AU93" s="215">
        <f ca="1">IF($D93&lt;&gt;"Serviço",0,IF(AND(AUTOEVENTO="Manual",$M93=1),0,IF(OFFSET(CRONOPLE!$F$14,$M93,AU$13)="",10^12,OFFSET(CRONOPLE!$F$14,$M93,AU$13))))</f>
        <v>1000000000000</v>
      </c>
      <c r="AV93" s="215">
        <f ca="1">IF($D93&lt;&gt;"Serviço",0,IF(AND(AUTOEVENTO="Manual",$M93=1),0,IF(OFFSET(CRONOPLE!$F$14,$M93,AV$13)="",10^12,OFFSET(CRONOPLE!$F$14,$M93,AV$13))))</f>
        <v>1000000000000</v>
      </c>
      <c r="AX93" s="216">
        <f ca="1">IF($D93&lt;&gt;"Serviço",0,IF(OR(AND(AUTOEVENTO="Manual",$M93=1),$M93&gt;(ROW(PLE.lastrow)-ROW(PLE.firstrow))),0,IF(OFFSET(PLE!$G$14,$M93,AX$13)="",10^12,OFFSET(PLE!$G$14,$M93,AX$13))))</f>
        <v>1000000000000</v>
      </c>
      <c r="AY93" s="216">
        <f ca="1">IF($D93&lt;&gt;"Serviço",0,IF(OR(AND(AUTOEVENTO="Manual",$M93=1),$M93&gt;(ROW(PLE.lastrow)-ROW(PLE.firstrow))),0,IF(OFFSET(PLE!$G$14,$M93,AY$13)="",10^12,OFFSET(PLE!$G$14,$M93,AY$13))))</f>
        <v>1000000000000</v>
      </c>
      <c r="AZ93" s="216">
        <f ca="1">IF($D93&lt;&gt;"Serviço",0,IF(OR(AND(AUTOEVENTO="Manual",$M93=1),$M93&gt;(ROW(PLE.lastrow)-ROW(PLE.firstrow))),0,IF(OFFSET(PLE!$G$14,$M93,AZ$13)="",10^12,OFFSET(PLE!$G$14,$M93,AZ$13))))</f>
        <v>1000000000000</v>
      </c>
      <c r="BA93" s="216">
        <f ca="1">IF($D93&lt;&gt;"Serviço",0,IF(OR(AND(AUTOEVENTO="Manual",$M93=1),$M93&gt;(ROW(PLE.lastrow)-ROW(PLE.firstrow))),0,IF(OFFSET(PLE!$G$14,$M93,BA$13)="",10^12,OFFSET(PLE!$G$14,$M93,BA$13))))</f>
        <v>1000000000000</v>
      </c>
      <c r="BB93" s="216">
        <f ca="1">IF($D93&lt;&gt;"Serviço",0,IF(OR(AND(AUTOEVENTO="Manual",$M93=1),$M93&gt;(ROW(PLE.lastrow)-ROW(PLE.firstrow))),0,IF(OFFSET(PLE!$G$14,$M93,BB$13)="",10^12,OFFSET(PLE!$G$14,$M93,BB$13))))</f>
        <v>1000000000000</v>
      </c>
      <c r="BC93" s="216">
        <f ca="1">IF($D93&lt;&gt;"Serviço",0,IF(OR(AND(AUTOEVENTO="Manual",$M93=1),$M93&gt;(ROW(PLE.lastrow)-ROW(PLE.firstrow))),0,IF(OFFSET(PLE!$G$14,$M93,BC$13)="",10^12,OFFSET(PLE!$G$14,$M93,BC$13))))</f>
        <v>1000000000000</v>
      </c>
      <c r="BD93" s="216">
        <f ca="1">IF($D93&lt;&gt;"Serviço",0,IF(OR(AND(AUTOEVENTO="Manual",$M93=1),$M93&gt;(ROW(PLE.lastrow)-ROW(PLE.firstrow))),0,IF(OFFSET(PLE!$G$14,$M93,BD$13)="",10^12,OFFSET(PLE!$G$14,$M93,BD$13))))</f>
        <v>1000000000000</v>
      </c>
      <c r="BE93" s="216">
        <f ca="1">IF($D93&lt;&gt;"Serviço",0,IF(OR(AND(AUTOEVENTO="Manual",$M93=1),$M93&gt;(ROW(PLE.lastrow)-ROW(PLE.firstrow))),0,IF(OFFSET(PLE!$G$14,$M93,BE$13)="",10^12,OFFSET(PLE!$G$14,$M93,BE$13))))</f>
        <v>1000000000000</v>
      </c>
      <c r="BF93" s="216">
        <f ca="1">IF($D93&lt;&gt;"Serviço",0,IF(OR(AND(AUTOEVENTO="Manual",$M93=1),$M93&gt;(ROW(PLE.lastrow)-ROW(PLE.firstrow))),0,IF(OFFSET(PLE!$G$14,$M93,BF$13)="",10^12,OFFSET(PLE!$G$14,$M93,BF$13))))</f>
        <v>1000000000000</v>
      </c>
      <c r="BG93" s="216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9" t="str">
        <f t="shared" ca="1" si="9"/>
        <v>37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5" t="str">
        <f ca="1">OFFSET(ORÇAMENTO!N$15,ROW(D94)-ROW(D$15),0)</f>
        <v>Serviço</v>
      </c>
      <c r="E94" s="205" t="str">
        <f ca="1">OFFSET(ORÇAMENTO!O$15,ROW(E94)-ROW(E$15),0)</f>
        <v>-</v>
      </c>
      <c r="F94" s="206" t="str">
        <f ca="1">OFFSET(ORÇAMENTO!R$15,ROW(F94)-ROW(F$15),0)</f>
        <v>(abra o arquivo 'Referência 05-2023.xls)</v>
      </c>
      <c r="G94" s="207" t="str">
        <f ca="1">IF($D94&lt;&gt;"Serviço","",OFFSET(ORÇAMENTO!S$15,ROW(G94)-ROW(G$15),0))</f>
        <v>-</v>
      </c>
      <c r="H94" s="151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1"/>
      <c r="K94" s="208"/>
      <c r="L94" s="209" t="s">
        <v>254</v>
      </c>
      <c r="M94" s="210">
        <f ca="1">IF($D94&lt;&gt;"Serviço","",IF(AUTOEVENTO="manual",$A94,IF(ISERROR(MATCH($A94,$A$15:OFFSET($A94,-1,0),0)),MAX($M$15:OFFSET(M94,-1,0))+1,INDEX($M$15:OFFSET(M94,-1,0),MATCH($A94,$A$15:OFFSET($A94,-1,0),0)))))</f>
        <v>5</v>
      </c>
      <c r="N94" s="211" t="str">
        <f ca="1">IF($D94&lt;&gt;"Serviço","",IF(AUTOEVENTO="Manual",IF($A94=0,"&lt;-- defina o número do agrupador",OFFSET(EVENTOS!$D$14,$A94,0)),OFFSET($F$15,$A94,0)))</f>
        <v>PINTURAS E TEXTURAS</v>
      </c>
      <c r="O94" s="212"/>
      <c r="Q94" s="212"/>
      <c r="R94" s="213"/>
      <c r="S94" s="213"/>
      <c r="T94" s="213"/>
      <c r="U94" s="213"/>
      <c r="V94" s="213"/>
      <c r="W94" s="213"/>
      <c r="X94" s="213"/>
      <c r="Y94" s="213"/>
      <c r="Z94" s="214"/>
      <c r="AB94" s="592">
        <f ca="1">IF(AND($D94="Serviço",AB$12&lt;&gt;0,$H94&gt;0,OR(AUTOEVENTO&lt;&gt;"manual",$M94&lt;&gt;1)),ROUND(OFFSET($P94,0,AB$13),15-13*ORÇAMENTO!$AF$7)/$H94*OFFSET(ORÇAMENTO!$X$15,ROW(AB94)-ROW(AB$15),0),0)</f>
        <v>0</v>
      </c>
      <c r="AC94" s="593">
        <f ca="1">IF(AND($D94="Serviço",AC$12&lt;&gt;0,$H94&gt;0,OR(AUTOEVENTO&lt;&gt;"manual",$M94&lt;&gt;1)),ROUND(OFFSET($P94,0,AC$13),15-13*ORÇAMENTO!$AF$7)/$H94*OFFSET(ORÇAMENTO!$X$15,ROW(AC94)-ROW(AC$15),0),0)</f>
        <v>0</v>
      </c>
      <c r="AD94" s="593">
        <f ca="1">IF(AND($D94="Serviço",AD$12&lt;&gt;0,$H94&gt;0,OR(AUTOEVENTO&lt;&gt;"manual",$M94&lt;&gt;1)),ROUND(OFFSET($P94,0,AD$13),15-13*ORÇAMENTO!$AF$7)/$H94*OFFSET(ORÇAMENTO!$X$15,ROW(AD94)-ROW(AD$15),0),0)</f>
        <v>0</v>
      </c>
      <c r="AE94" s="593">
        <f ca="1">IF(AND($D94="Serviço",AE$12&lt;&gt;0,$H94&gt;0,OR(AUTOEVENTO&lt;&gt;"manual",$M94&lt;&gt;1)),ROUND(OFFSET($P94,0,AE$13),15-13*ORÇAMENTO!$AF$7)/$H94*OFFSET(ORÇAMENTO!$X$15,ROW(AE94)-ROW(AE$15),0),0)</f>
        <v>0</v>
      </c>
      <c r="AF94" s="593">
        <f ca="1">IF(AND($D94="Serviço",AF$12&lt;&gt;0,$H94&gt;0,OR(AUTOEVENTO&lt;&gt;"manual",$M94&lt;&gt;1)),ROUND(OFFSET($P94,0,AF$13),15-13*ORÇAMENTO!$AF$7)/$H94*OFFSET(ORÇAMENTO!$X$15,ROW(AF94)-ROW(AF$15),0),0)</f>
        <v>0</v>
      </c>
      <c r="AG94" s="593">
        <f ca="1">IF(AND($D94="Serviço",AG$12&lt;&gt;0,$H94&gt;0,OR(AUTOEVENTO&lt;&gt;"manual",$M94&lt;&gt;1)),ROUND(OFFSET($P94,0,AG$13),15-13*ORÇAMENTO!$AF$7)/$H94*OFFSET(ORÇAMENTO!$X$15,ROW(AG94)-ROW(AG$15),0),0)</f>
        <v>0</v>
      </c>
      <c r="AH94" s="593">
        <f ca="1">IF(AND($D94="Serviço",AH$12&lt;&gt;0,$H94&gt;0,OR(AUTOEVENTO&lt;&gt;"manual",$M94&lt;&gt;1)),ROUND(OFFSET($P94,0,AH$13),15-13*ORÇAMENTO!$AF$7)/$H94*OFFSET(ORÇAMENTO!$X$15,ROW(AH94)-ROW(AH$15),0),0)</f>
        <v>0</v>
      </c>
      <c r="AI94" s="593">
        <f ca="1">IF(AND($D94="Serviço",AI$12&lt;&gt;0,$H94&gt;0,OR(AUTOEVENTO&lt;&gt;"manual",$M94&lt;&gt;1)),ROUND(OFFSET($P94,0,AI$13),15-13*ORÇAMENTO!$AF$7)/$H94*OFFSET(ORÇAMENTO!$X$15,ROW(AI94)-ROW(AI$15),0),0)</f>
        <v>0</v>
      </c>
      <c r="AJ94" s="593">
        <f ca="1">IF(AND($D94="Serviço",AJ$12&lt;&gt;0,$H94&gt;0,OR(AUTOEVENTO&lt;&gt;"manual",$M94&lt;&gt;1)),ROUND(OFFSET($P94,0,AJ$13),15-13*ORÇAMENTO!$AF$7)/$H94*OFFSET(ORÇAMENTO!$X$15,ROW(AJ94)-ROW(AJ$15),0),0)</f>
        <v>0</v>
      </c>
      <c r="AK94" s="594">
        <f ca="1">IF(AND($D94="Serviço",AK$12&lt;&gt;0,$H94&gt;0,OR(AUTOEVENTO&lt;&gt;"manual",$M94&lt;&gt;1)),ROUND(OFFSET($P94,0,AK$13),15-13*ORÇAMENTO!$AF$7)/$H94*OFFSET(ORÇAMENTO!$X$15,ROW(AK94)-ROW(AK$15),0),0)</f>
        <v>0</v>
      </c>
      <c r="AM94" s="215">
        <f ca="1">IF($D94&lt;&gt;"Serviço",0,IF(AND(AUTOEVENTO="Manual",$M94=1),0,IF(OFFSET(CRONOPLE!$F$14,$M94,AM$13)="",10^12,OFFSET(CRONOPLE!$F$14,$M94,AM$13))))</f>
        <v>2</v>
      </c>
      <c r="AN94" s="215">
        <f ca="1">IF($D94&lt;&gt;"Serviço",0,IF(AND(AUTOEVENTO="Manual",$M94=1),0,IF(OFFSET(CRONOPLE!$F$14,$M94,AN$13)="",10^12,OFFSET(CRONOPLE!$F$14,$M94,AN$13))))</f>
        <v>2</v>
      </c>
      <c r="AO94" s="215">
        <f ca="1">IF($D94&lt;&gt;"Serviço",0,IF(AND(AUTOEVENTO="Manual",$M94=1),0,IF(OFFSET(CRONOPLE!$F$14,$M94,AO$13)="",10^12,OFFSET(CRONOPLE!$F$14,$M94,AO$13))))</f>
        <v>3</v>
      </c>
      <c r="AP94" s="215">
        <f ca="1">IF($D94&lt;&gt;"Serviço",0,IF(AND(AUTOEVENTO="Manual",$M94=1),0,IF(OFFSET(CRONOPLE!$F$14,$M94,AP$13)="",10^12,OFFSET(CRONOPLE!$F$14,$M94,AP$13))))</f>
        <v>1000000000000</v>
      </c>
      <c r="AQ94" s="215">
        <f ca="1">IF($D94&lt;&gt;"Serviço",0,IF(AND(AUTOEVENTO="Manual",$M94=1),0,IF(OFFSET(CRONOPLE!$F$14,$M94,AQ$13)="",10^12,OFFSET(CRONOPLE!$F$14,$M94,AQ$13))))</f>
        <v>1000000000000</v>
      </c>
      <c r="AR94" s="215">
        <f ca="1">IF($D94&lt;&gt;"Serviço",0,IF(AND(AUTOEVENTO="Manual",$M94=1),0,IF(OFFSET(CRONOPLE!$F$14,$M94,AR$13)="",10^12,OFFSET(CRONOPLE!$F$14,$M94,AR$13))))</f>
        <v>1000000000000</v>
      </c>
      <c r="AS94" s="215">
        <f ca="1">IF($D94&lt;&gt;"Serviço",0,IF(AND(AUTOEVENTO="Manual",$M94=1),0,IF(OFFSET(CRONOPLE!$F$14,$M94,AS$13)="",10^12,OFFSET(CRONOPLE!$F$14,$M94,AS$13))))</f>
        <v>1000000000000</v>
      </c>
      <c r="AT94" s="215">
        <f ca="1">IF($D94&lt;&gt;"Serviço",0,IF(AND(AUTOEVENTO="Manual",$M94=1),0,IF(OFFSET(CRONOPLE!$F$14,$M94,AT$13)="",10^12,OFFSET(CRONOPLE!$F$14,$M94,AT$13))))</f>
        <v>1000000000000</v>
      </c>
      <c r="AU94" s="215">
        <f ca="1">IF($D94&lt;&gt;"Serviço",0,IF(AND(AUTOEVENTO="Manual",$M94=1),0,IF(OFFSET(CRONOPLE!$F$14,$M94,AU$13)="",10^12,OFFSET(CRONOPLE!$F$14,$M94,AU$13))))</f>
        <v>1000000000000</v>
      </c>
      <c r="AV94" s="215">
        <f ca="1">IF($D94&lt;&gt;"Serviço",0,IF(AND(AUTOEVENTO="Manual",$M94=1),0,IF(OFFSET(CRONOPLE!$F$14,$M94,AV$13)="",10^12,OFFSET(CRONOPLE!$F$14,$M94,AV$13))))</f>
        <v>1000000000000</v>
      </c>
      <c r="AX94" s="216">
        <f ca="1">IF($D94&lt;&gt;"Serviço",0,IF(OR(AND(AUTOEVENTO="Manual",$M94=1),$M94&gt;(ROW(PLE.lastrow)-ROW(PLE.firstrow))),0,IF(OFFSET(PLE!$G$14,$M94,AX$13)="",10^12,OFFSET(PLE!$G$14,$M94,AX$13))))</f>
        <v>1000000000000</v>
      </c>
      <c r="AY94" s="216">
        <f ca="1">IF($D94&lt;&gt;"Serviço",0,IF(OR(AND(AUTOEVENTO="Manual",$M94=1),$M94&gt;(ROW(PLE.lastrow)-ROW(PLE.firstrow))),0,IF(OFFSET(PLE!$G$14,$M94,AY$13)="",10^12,OFFSET(PLE!$G$14,$M94,AY$13))))</f>
        <v>1000000000000</v>
      </c>
      <c r="AZ94" s="216">
        <f ca="1">IF($D94&lt;&gt;"Serviço",0,IF(OR(AND(AUTOEVENTO="Manual",$M94=1),$M94&gt;(ROW(PLE.lastrow)-ROW(PLE.firstrow))),0,IF(OFFSET(PLE!$G$14,$M94,AZ$13)="",10^12,OFFSET(PLE!$G$14,$M94,AZ$13))))</f>
        <v>1000000000000</v>
      </c>
      <c r="BA94" s="216">
        <f ca="1">IF($D94&lt;&gt;"Serviço",0,IF(OR(AND(AUTOEVENTO="Manual",$M94=1),$M94&gt;(ROW(PLE.lastrow)-ROW(PLE.firstrow))),0,IF(OFFSET(PLE!$G$14,$M94,BA$13)="",10^12,OFFSET(PLE!$G$14,$M94,BA$13))))</f>
        <v>1000000000000</v>
      </c>
      <c r="BB94" s="216">
        <f ca="1">IF($D94&lt;&gt;"Serviço",0,IF(OR(AND(AUTOEVENTO="Manual",$M94=1),$M94&gt;(ROW(PLE.lastrow)-ROW(PLE.firstrow))),0,IF(OFFSET(PLE!$G$14,$M94,BB$13)="",10^12,OFFSET(PLE!$G$14,$M94,BB$13))))</f>
        <v>1000000000000</v>
      </c>
      <c r="BC94" s="216">
        <f ca="1">IF($D94&lt;&gt;"Serviço",0,IF(OR(AND(AUTOEVENTO="Manual",$M94=1),$M94&gt;(ROW(PLE.lastrow)-ROW(PLE.firstrow))),0,IF(OFFSET(PLE!$G$14,$M94,BC$13)="",10^12,OFFSET(PLE!$G$14,$M94,BC$13))))</f>
        <v>1000000000000</v>
      </c>
      <c r="BD94" s="216">
        <f ca="1">IF($D94&lt;&gt;"Serviço",0,IF(OR(AND(AUTOEVENTO="Manual",$M94=1),$M94&gt;(ROW(PLE.lastrow)-ROW(PLE.firstrow))),0,IF(OFFSET(PLE!$G$14,$M94,BD$13)="",10^12,OFFSET(PLE!$G$14,$M94,BD$13))))</f>
        <v>1000000000000</v>
      </c>
      <c r="BE94" s="216">
        <f ca="1">IF($D94&lt;&gt;"Serviço",0,IF(OR(AND(AUTOEVENTO="Manual",$M94=1),$M94&gt;(ROW(PLE.lastrow)-ROW(PLE.firstrow))),0,IF(OFFSET(PLE!$G$14,$M94,BE$13)="",10^12,OFFSET(PLE!$G$14,$M94,BE$13))))</f>
        <v>1000000000000</v>
      </c>
      <c r="BF94" s="216">
        <f ca="1">IF($D94&lt;&gt;"Serviço",0,IF(OR(AND(AUTOEVENTO="Manual",$M94=1),$M94&gt;(ROW(PLE.lastrow)-ROW(PLE.firstrow))),0,IF(OFFSET(PLE!$G$14,$M94,BF$13)="",10^12,OFFSET(PLE!$G$14,$M94,BF$13))))</f>
        <v>1000000000000</v>
      </c>
      <c r="BG94" s="216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37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5" t="str">
        <f ca="1">OFFSET(ORÇAMENTO!N$15,ROW(D95)-ROW(D$15),0)</f>
        <v>Serviço</v>
      </c>
      <c r="E95" s="205" t="str">
        <f ca="1">OFFSET(ORÇAMENTO!O$15,ROW(E95)-ROW(E$15),0)</f>
        <v>-</v>
      </c>
      <c r="F95" s="206" t="str">
        <f ca="1">OFFSET(ORÇAMENTO!R$15,ROW(F95)-ROW(F$15),0)</f>
        <v>(abra o arquivo 'Referência 05-2023.xls)</v>
      </c>
      <c r="G95" s="207" t="str">
        <f ca="1">IF($D95&lt;&gt;"Serviço","",OFFSET(ORÇAMENTO!S$15,ROW(G95)-ROW(G$15),0))</f>
        <v>-</v>
      </c>
      <c r="H95" s="151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1"/>
      <c r="K95" s="208"/>
      <c r="L95" s="209" t="s">
        <v>254</v>
      </c>
      <c r="M95" s="210">
        <f ca="1">IF($D95&lt;&gt;"Serviço","",IF(AUTOEVENTO="manual",$A95,IF(ISERROR(MATCH($A95,$A$15:OFFSET($A95,-1,0),0)),MAX($M$15:OFFSET(M95,-1,0))+1,INDEX($M$15:OFFSET(M95,-1,0),MATCH($A95,$A$15:OFFSET($A95,-1,0),0)))))</f>
        <v>5</v>
      </c>
      <c r="N95" s="211" t="str">
        <f ca="1">IF($D95&lt;&gt;"Serviço","",IF(AUTOEVENTO="Manual",IF($A95=0,"&lt;-- defina o número do agrupador",OFFSET(EVENTOS!$D$14,$A95,0)),OFFSET($F$15,$A95,0)))</f>
        <v>PINTURAS E TEXTURAS</v>
      </c>
      <c r="O95" s="212"/>
      <c r="Q95" s="212"/>
      <c r="R95" s="213"/>
      <c r="S95" s="213"/>
      <c r="T95" s="213"/>
      <c r="U95" s="213"/>
      <c r="V95" s="213"/>
      <c r="W95" s="213"/>
      <c r="X95" s="213"/>
      <c r="Y95" s="213"/>
      <c r="Z95" s="214"/>
      <c r="AB95" s="592">
        <f ca="1">IF(AND($D95="Serviço",AB$12&lt;&gt;0,$H95&gt;0,OR(AUTOEVENTO&lt;&gt;"manual",$M95&lt;&gt;1)),ROUND(OFFSET($P95,0,AB$13),15-13*ORÇAMENTO!$AF$7)/$H95*OFFSET(ORÇAMENTO!$X$15,ROW(AB95)-ROW(AB$15),0),0)</f>
        <v>0</v>
      </c>
      <c r="AC95" s="593">
        <f ca="1">IF(AND($D95="Serviço",AC$12&lt;&gt;0,$H95&gt;0,OR(AUTOEVENTO&lt;&gt;"manual",$M95&lt;&gt;1)),ROUND(OFFSET($P95,0,AC$13),15-13*ORÇAMENTO!$AF$7)/$H95*OFFSET(ORÇAMENTO!$X$15,ROW(AC95)-ROW(AC$15),0),0)</f>
        <v>0</v>
      </c>
      <c r="AD95" s="593">
        <f ca="1">IF(AND($D95="Serviço",AD$12&lt;&gt;0,$H95&gt;0,OR(AUTOEVENTO&lt;&gt;"manual",$M95&lt;&gt;1)),ROUND(OFFSET($P95,0,AD$13),15-13*ORÇAMENTO!$AF$7)/$H95*OFFSET(ORÇAMENTO!$X$15,ROW(AD95)-ROW(AD$15),0),0)</f>
        <v>0</v>
      </c>
      <c r="AE95" s="593">
        <f ca="1">IF(AND($D95="Serviço",AE$12&lt;&gt;0,$H95&gt;0,OR(AUTOEVENTO&lt;&gt;"manual",$M95&lt;&gt;1)),ROUND(OFFSET($P95,0,AE$13),15-13*ORÇAMENTO!$AF$7)/$H95*OFFSET(ORÇAMENTO!$X$15,ROW(AE95)-ROW(AE$15),0),0)</f>
        <v>0</v>
      </c>
      <c r="AF95" s="593">
        <f ca="1">IF(AND($D95="Serviço",AF$12&lt;&gt;0,$H95&gt;0,OR(AUTOEVENTO&lt;&gt;"manual",$M95&lt;&gt;1)),ROUND(OFFSET($P95,0,AF$13),15-13*ORÇAMENTO!$AF$7)/$H95*OFFSET(ORÇAMENTO!$X$15,ROW(AF95)-ROW(AF$15),0),0)</f>
        <v>0</v>
      </c>
      <c r="AG95" s="593">
        <f ca="1">IF(AND($D95="Serviço",AG$12&lt;&gt;0,$H95&gt;0,OR(AUTOEVENTO&lt;&gt;"manual",$M95&lt;&gt;1)),ROUND(OFFSET($P95,0,AG$13),15-13*ORÇAMENTO!$AF$7)/$H95*OFFSET(ORÇAMENTO!$X$15,ROW(AG95)-ROW(AG$15),0),0)</f>
        <v>0</v>
      </c>
      <c r="AH95" s="593">
        <f ca="1">IF(AND($D95="Serviço",AH$12&lt;&gt;0,$H95&gt;0,OR(AUTOEVENTO&lt;&gt;"manual",$M95&lt;&gt;1)),ROUND(OFFSET($P95,0,AH$13),15-13*ORÇAMENTO!$AF$7)/$H95*OFFSET(ORÇAMENTO!$X$15,ROW(AH95)-ROW(AH$15),0),0)</f>
        <v>0</v>
      </c>
      <c r="AI95" s="593">
        <f ca="1">IF(AND($D95="Serviço",AI$12&lt;&gt;0,$H95&gt;0,OR(AUTOEVENTO&lt;&gt;"manual",$M95&lt;&gt;1)),ROUND(OFFSET($P95,0,AI$13),15-13*ORÇAMENTO!$AF$7)/$H95*OFFSET(ORÇAMENTO!$X$15,ROW(AI95)-ROW(AI$15),0),0)</f>
        <v>0</v>
      </c>
      <c r="AJ95" s="593">
        <f ca="1">IF(AND($D95="Serviço",AJ$12&lt;&gt;0,$H95&gt;0,OR(AUTOEVENTO&lt;&gt;"manual",$M95&lt;&gt;1)),ROUND(OFFSET($P95,0,AJ$13),15-13*ORÇAMENTO!$AF$7)/$H95*OFFSET(ORÇAMENTO!$X$15,ROW(AJ95)-ROW(AJ$15),0),0)</f>
        <v>0</v>
      </c>
      <c r="AK95" s="594">
        <f ca="1">IF(AND($D95="Serviço",AK$12&lt;&gt;0,$H95&gt;0,OR(AUTOEVENTO&lt;&gt;"manual",$M95&lt;&gt;1)),ROUND(OFFSET($P95,0,AK$13),15-13*ORÇAMENTO!$AF$7)/$H95*OFFSET(ORÇAMENTO!$X$15,ROW(AK95)-ROW(AK$15),0),0)</f>
        <v>0</v>
      </c>
      <c r="AM95" s="215">
        <f ca="1">IF($D95&lt;&gt;"Serviço",0,IF(AND(AUTOEVENTO="Manual",$M95=1),0,IF(OFFSET(CRONOPLE!$F$14,$M95,AM$13)="",10^12,OFFSET(CRONOPLE!$F$14,$M95,AM$13))))</f>
        <v>2</v>
      </c>
      <c r="AN95" s="215">
        <f ca="1">IF($D95&lt;&gt;"Serviço",0,IF(AND(AUTOEVENTO="Manual",$M95=1),0,IF(OFFSET(CRONOPLE!$F$14,$M95,AN$13)="",10^12,OFFSET(CRONOPLE!$F$14,$M95,AN$13))))</f>
        <v>2</v>
      </c>
      <c r="AO95" s="215">
        <f ca="1">IF($D95&lt;&gt;"Serviço",0,IF(AND(AUTOEVENTO="Manual",$M95=1),0,IF(OFFSET(CRONOPLE!$F$14,$M95,AO$13)="",10^12,OFFSET(CRONOPLE!$F$14,$M95,AO$13))))</f>
        <v>3</v>
      </c>
      <c r="AP95" s="215">
        <f ca="1">IF($D95&lt;&gt;"Serviço",0,IF(AND(AUTOEVENTO="Manual",$M95=1),0,IF(OFFSET(CRONOPLE!$F$14,$M95,AP$13)="",10^12,OFFSET(CRONOPLE!$F$14,$M95,AP$13))))</f>
        <v>1000000000000</v>
      </c>
      <c r="AQ95" s="215">
        <f ca="1">IF($D95&lt;&gt;"Serviço",0,IF(AND(AUTOEVENTO="Manual",$M95=1),0,IF(OFFSET(CRONOPLE!$F$14,$M95,AQ$13)="",10^12,OFFSET(CRONOPLE!$F$14,$M95,AQ$13))))</f>
        <v>1000000000000</v>
      </c>
      <c r="AR95" s="215">
        <f ca="1">IF($D95&lt;&gt;"Serviço",0,IF(AND(AUTOEVENTO="Manual",$M95=1),0,IF(OFFSET(CRONOPLE!$F$14,$M95,AR$13)="",10^12,OFFSET(CRONOPLE!$F$14,$M95,AR$13))))</f>
        <v>1000000000000</v>
      </c>
      <c r="AS95" s="215">
        <f ca="1">IF($D95&lt;&gt;"Serviço",0,IF(AND(AUTOEVENTO="Manual",$M95=1),0,IF(OFFSET(CRONOPLE!$F$14,$M95,AS$13)="",10^12,OFFSET(CRONOPLE!$F$14,$M95,AS$13))))</f>
        <v>1000000000000</v>
      </c>
      <c r="AT95" s="215">
        <f ca="1">IF($D95&lt;&gt;"Serviço",0,IF(AND(AUTOEVENTO="Manual",$M95=1),0,IF(OFFSET(CRONOPLE!$F$14,$M95,AT$13)="",10^12,OFFSET(CRONOPLE!$F$14,$M95,AT$13))))</f>
        <v>1000000000000</v>
      </c>
      <c r="AU95" s="215">
        <f ca="1">IF($D95&lt;&gt;"Serviço",0,IF(AND(AUTOEVENTO="Manual",$M95=1),0,IF(OFFSET(CRONOPLE!$F$14,$M95,AU$13)="",10^12,OFFSET(CRONOPLE!$F$14,$M95,AU$13))))</f>
        <v>1000000000000</v>
      </c>
      <c r="AV95" s="215">
        <f ca="1">IF($D95&lt;&gt;"Serviço",0,IF(AND(AUTOEVENTO="Manual",$M95=1),0,IF(OFFSET(CRONOPLE!$F$14,$M95,AV$13)="",10^12,OFFSET(CRONOPLE!$F$14,$M95,AV$13))))</f>
        <v>1000000000000</v>
      </c>
      <c r="AX95" s="216">
        <f ca="1">IF($D95&lt;&gt;"Serviço",0,IF(OR(AND(AUTOEVENTO="Manual",$M95=1),$M95&gt;(ROW(PLE.lastrow)-ROW(PLE.firstrow))),0,IF(OFFSET(PLE!$G$14,$M95,AX$13)="",10^12,OFFSET(PLE!$G$14,$M95,AX$13))))</f>
        <v>1000000000000</v>
      </c>
      <c r="AY95" s="216">
        <f ca="1">IF($D95&lt;&gt;"Serviço",0,IF(OR(AND(AUTOEVENTO="Manual",$M95=1),$M95&gt;(ROW(PLE.lastrow)-ROW(PLE.firstrow))),0,IF(OFFSET(PLE!$G$14,$M95,AY$13)="",10^12,OFFSET(PLE!$G$14,$M95,AY$13))))</f>
        <v>1000000000000</v>
      </c>
      <c r="AZ95" s="216">
        <f ca="1">IF($D95&lt;&gt;"Serviço",0,IF(OR(AND(AUTOEVENTO="Manual",$M95=1),$M95&gt;(ROW(PLE.lastrow)-ROW(PLE.firstrow))),0,IF(OFFSET(PLE!$G$14,$M95,AZ$13)="",10^12,OFFSET(PLE!$G$14,$M95,AZ$13))))</f>
        <v>1000000000000</v>
      </c>
      <c r="BA95" s="216">
        <f ca="1">IF($D95&lt;&gt;"Serviço",0,IF(OR(AND(AUTOEVENTO="Manual",$M95=1),$M95&gt;(ROW(PLE.lastrow)-ROW(PLE.firstrow))),0,IF(OFFSET(PLE!$G$14,$M95,BA$13)="",10^12,OFFSET(PLE!$G$14,$M95,BA$13))))</f>
        <v>1000000000000</v>
      </c>
      <c r="BB95" s="216">
        <f ca="1">IF($D95&lt;&gt;"Serviço",0,IF(OR(AND(AUTOEVENTO="Manual",$M95=1),$M95&gt;(ROW(PLE.lastrow)-ROW(PLE.firstrow))),0,IF(OFFSET(PLE!$G$14,$M95,BB$13)="",10^12,OFFSET(PLE!$G$14,$M95,BB$13))))</f>
        <v>1000000000000</v>
      </c>
      <c r="BC95" s="216">
        <f ca="1">IF($D95&lt;&gt;"Serviço",0,IF(OR(AND(AUTOEVENTO="Manual",$M95=1),$M95&gt;(ROW(PLE.lastrow)-ROW(PLE.firstrow))),0,IF(OFFSET(PLE!$G$14,$M95,BC$13)="",10^12,OFFSET(PLE!$G$14,$M95,BC$13))))</f>
        <v>1000000000000</v>
      </c>
      <c r="BD95" s="216">
        <f ca="1">IF($D95&lt;&gt;"Serviço",0,IF(OR(AND(AUTOEVENTO="Manual",$M95=1),$M95&gt;(ROW(PLE.lastrow)-ROW(PLE.firstrow))),0,IF(OFFSET(PLE!$G$14,$M95,BD$13)="",10^12,OFFSET(PLE!$G$14,$M95,BD$13))))</f>
        <v>1000000000000</v>
      </c>
      <c r="BE95" s="216">
        <f ca="1">IF($D95&lt;&gt;"Serviço",0,IF(OR(AND(AUTOEVENTO="Manual",$M95=1),$M95&gt;(ROW(PLE.lastrow)-ROW(PLE.firstrow))),0,IF(OFFSET(PLE!$G$14,$M95,BE$13)="",10^12,OFFSET(PLE!$G$14,$M95,BE$13))))</f>
        <v>1000000000000</v>
      </c>
      <c r="BF95" s="216">
        <f ca="1">IF($D95&lt;&gt;"Serviço",0,IF(OR(AND(AUTOEVENTO="Manual",$M95=1),$M95&gt;(ROW(PLE.lastrow)-ROW(PLE.firstrow))),0,IF(OFFSET(PLE!$G$14,$M95,BF$13)="",10^12,OFFSET(PLE!$G$14,$M95,BF$13))))</f>
        <v>1000000000000</v>
      </c>
      <c r="BG95" s="216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x14ac:dyDescent="0.2">
      <c r="A96" s="9" t="str">
        <f t="shared" ca="1" si="9"/>
        <v>37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5" t="str">
        <f ca="1">OFFSET(ORÇAMENTO!N$15,ROW(D96)-ROW(D$15),0)</f>
        <v>Serviço</v>
      </c>
      <c r="E96" s="205" t="str">
        <f ca="1">OFFSET(ORÇAMENTO!O$15,ROW(E96)-ROW(E$15),0)</f>
        <v>-</v>
      </c>
      <c r="F96" s="206" t="str">
        <f ca="1">OFFSET(ORÇAMENTO!R$15,ROW(F96)-ROW(F$15),0)</f>
        <v>(abra o arquivo 'Referência 05-2023.xls)</v>
      </c>
      <c r="G96" s="207" t="str">
        <f ca="1">IF($D96&lt;&gt;"Serviço","",OFFSET(ORÇAMENTO!S$15,ROW(G96)-ROW(G$15),0))</f>
        <v>-</v>
      </c>
      <c r="H96" s="151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1"/>
      <c r="K96" s="208"/>
      <c r="L96" s="209" t="s">
        <v>254</v>
      </c>
      <c r="M96" s="210">
        <f ca="1">IF($D96&lt;&gt;"Serviço","",IF(AUTOEVENTO="manual",$A96,IF(ISERROR(MATCH($A96,$A$15:OFFSET($A96,-1,0),0)),MAX($M$15:OFFSET(M96,-1,0))+1,INDEX($M$15:OFFSET(M96,-1,0),MATCH($A96,$A$15:OFFSET($A96,-1,0),0)))))</f>
        <v>5</v>
      </c>
      <c r="N96" s="211" t="str">
        <f ca="1">IF($D96&lt;&gt;"Serviço","",IF(AUTOEVENTO="Manual",IF($A96=0,"&lt;-- defina o número do agrupador",OFFSET(EVENTOS!$D$14,$A96,0)),OFFSET($F$15,$A96,0)))</f>
        <v>PINTURAS E TEXTURAS</v>
      </c>
      <c r="O96" s="212"/>
      <c r="Q96" s="212"/>
      <c r="R96" s="213"/>
      <c r="S96" s="213"/>
      <c r="T96" s="213"/>
      <c r="U96" s="213"/>
      <c r="V96" s="213"/>
      <c r="W96" s="213"/>
      <c r="X96" s="213"/>
      <c r="Y96" s="213"/>
      <c r="Z96" s="214"/>
      <c r="AB96" s="592">
        <f ca="1">IF(AND($D96="Serviço",AB$12&lt;&gt;0,$H96&gt;0,OR(AUTOEVENTO&lt;&gt;"manual",$M96&lt;&gt;1)),ROUND(OFFSET($P96,0,AB$13),15-13*ORÇAMENTO!$AF$7)/$H96*OFFSET(ORÇAMENTO!$X$15,ROW(AB96)-ROW(AB$15),0),0)</f>
        <v>0</v>
      </c>
      <c r="AC96" s="593">
        <f ca="1">IF(AND($D96="Serviço",AC$12&lt;&gt;0,$H96&gt;0,OR(AUTOEVENTO&lt;&gt;"manual",$M96&lt;&gt;1)),ROUND(OFFSET($P96,0,AC$13),15-13*ORÇAMENTO!$AF$7)/$H96*OFFSET(ORÇAMENTO!$X$15,ROW(AC96)-ROW(AC$15),0),0)</f>
        <v>0</v>
      </c>
      <c r="AD96" s="593">
        <f ca="1">IF(AND($D96="Serviço",AD$12&lt;&gt;0,$H96&gt;0,OR(AUTOEVENTO&lt;&gt;"manual",$M96&lt;&gt;1)),ROUND(OFFSET($P96,0,AD$13),15-13*ORÇAMENTO!$AF$7)/$H96*OFFSET(ORÇAMENTO!$X$15,ROW(AD96)-ROW(AD$15),0),0)</f>
        <v>0</v>
      </c>
      <c r="AE96" s="593">
        <f ca="1">IF(AND($D96="Serviço",AE$12&lt;&gt;0,$H96&gt;0,OR(AUTOEVENTO&lt;&gt;"manual",$M96&lt;&gt;1)),ROUND(OFFSET($P96,0,AE$13),15-13*ORÇAMENTO!$AF$7)/$H96*OFFSET(ORÇAMENTO!$X$15,ROW(AE96)-ROW(AE$15),0),0)</f>
        <v>0</v>
      </c>
      <c r="AF96" s="593">
        <f ca="1">IF(AND($D96="Serviço",AF$12&lt;&gt;0,$H96&gt;0,OR(AUTOEVENTO&lt;&gt;"manual",$M96&lt;&gt;1)),ROUND(OFFSET($P96,0,AF$13),15-13*ORÇAMENTO!$AF$7)/$H96*OFFSET(ORÇAMENTO!$X$15,ROW(AF96)-ROW(AF$15),0),0)</f>
        <v>0</v>
      </c>
      <c r="AG96" s="593">
        <f ca="1">IF(AND($D96="Serviço",AG$12&lt;&gt;0,$H96&gt;0,OR(AUTOEVENTO&lt;&gt;"manual",$M96&lt;&gt;1)),ROUND(OFFSET($P96,0,AG$13),15-13*ORÇAMENTO!$AF$7)/$H96*OFFSET(ORÇAMENTO!$X$15,ROW(AG96)-ROW(AG$15),0),0)</f>
        <v>0</v>
      </c>
      <c r="AH96" s="593">
        <f ca="1">IF(AND($D96="Serviço",AH$12&lt;&gt;0,$H96&gt;0,OR(AUTOEVENTO&lt;&gt;"manual",$M96&lt;&gt;1)),ROUND(OFFSET($P96,0,AH$13),15-13*ORÇAMENTO!$AF$7)/$H96*OFFSET(ORÇAMENTO!$X$15,ROW(AH96)-ROW(AH$15),0),0)</f>
        <v>0</v>
      </c>
      <c r="AI96" s="593">
        <f ca="1">IF(AND($D96="Serviço",AI$12&lt;&gt;0,$H96&gt;0,OR(AUTOEVENTO&lt;&gt;"manual",$M96&lt;&gt;1)),ROUND(OFFSET($P96,0,AI$13),15-13*ORÇAMENTO!$AF$7)/$H96*OFFSET(ORÇAMENTO!$X$15,ROW(AI96)-ROW(AI$15),0),0)</f>
        <v>0</v>
      </c>
      <c r="AJ96" s="593">
        <f ca="1">IF(AND($D96="Serviço",AJ$12&lt;&gt;0,$H96&gt;0,OR(AUTOEVENTO&lt;&gt;"manual",$M96&lt;&gt;1)),ROUND(OFFSET($P96,0,AJ$13),15-13*ORÇAMENTO!$AF$7)/$H96*OFFSET(ORÇAMENTO!$X$15,ROW(AJ96)-ROW(AJ$15),0),0)</f>
        <v>0</v>
      </c>
      <c r="AK96" s="594">
        <f ca="1">IF(AND($D96="Serviço",AK$12&lt;&gt;0,$H96&gt;0,OR(AUTOEVENTO&lt;&gt;"manual",$M96&lt;&gt;1)),ROUND(OFFSET($P96,0,AK$13),15-13*ORÇAMENTO!$AF$7)/$H96*OFFSET(ORÇAMENTO!$X$15,ROW(AK96)-ROW(AK$15),0),0)</f>
        <v>0</v>
      </c>
      <c r="AM96" s="215">
        <f ca="1">IF($D96&lt;&gt;"Serviço",0,IF(AND(AUTOEVENTO="Manual",$M96=1),0,IF(OFFSET(CRONOPLE!$F$14,$M96,AM$13)="",10^12,OFFSET(CRONOPLE!$F$14,$M96,AM$13))))</f>
        <v>2</v>
      </c>
      <c r="AN96" s="215">
        <f ca="1">IF($D96&lt;&gt;"Serviço",0,IF(AND(AUTOEVENTO="Manual",$M96=1),0,IF(OFFSET(CRONOPLE!$F$14,$M96,AN$13)="",10^12,OFFSET(CRONOPLE!$F$14,$M96,AN$13))))</f>
        <v>2</v>
      </c>
      <c r="AO96" s="215">
        <f ca="1">IF($D96&lt;&gt;"Serviço",0,IF(AND(AUTOEVENTO="Manual",$M96=1),0,IF(OFFSET(CRONOPLE!$F$14,$M96,AO$13)="",10^12,OFFSET(CRONOPLE!$F$14,$M96,AO$13))))</f>
        <v>3</v>
      </c>
      <c r="AP96" s="215">
        <f ca="1">IF($D96&lt;&gt;"Serviço",0,IF(AND(AUTOEVENTO="Manual",$M96=1),0,IF(OFFSET(CRONOPLE!$F$14,$M96,AP$13)="",10^12,OFFSET(CRONOPLE!$F$14,$M96,AP$13))))</f>
        <v>1000000000000</v>
      </c>
      <c r="AQ96" s="215">
        <f ca="1">IF($D96&lt;&gt;"Serviço",0,IF(AND(AUTOEVENTO="Manual",$M96=1),0,IF(OFFSET(CRONOPLE!$F$14,$M96,AQ$13)="",10^12,OFFSET(CRONOPLE!$F$14,$M96,AQ$13))))</f>
        <v>1000000000000</v>
      </c>
      <c r="AR96" s="215">
        <f ca="1">IF($D96&lt;&gt;"Serviço",0,IF(AND(AUTOEVENTO="Manual",$M96=1),0,IF(OFFSET(CRONOPLE!$F$14,$M96,AR$13)="",10^12,OFFSET(CRONOPLE!$F$14,$M96,AR$13))))</f>
        <v>1000000000000</v>
      </c>
      <c r="AS96" s="215">
        <f ca="1">IF($D96&lt;&gt;"Serviço",0,IF(AND(AUTOEVENTO="Manual",$M96=1),0,IF(OFFSET(CRONOPLE!$F$14,$M96,AS$13)="",10^12,OFFSET(CRONOPLE!$F$14,$M96,AS$13))))</f>
        <v>1000000000000</v>
      </c>
      <c r="AT96" s="215">
        <f ca="1">IF($D96&lt;&gt;"Serviço",0,IF(AND(AUTOEVENTO="Manual",$M96=1),0,IF(OFFSET(CRONOPLE!$F$14,$M96,AT$13)="",10^12,OFFSET(CRONOPLE!$F$14,$M96,AT$13))))</f>
        <v>1000000000000</v>
      </c>
      <c r="AU96" s="215">
        <f ca="1">IF($D96&lt;&gt;"Serviço",0,IF(AND(AUTOEVENTO="Manual",$M96=1),0,IF(OFFSET(CRONOPLE!$F$14,$M96,AU$13)="",10^12,OFFSET(CRONOPLE!$F$14,$M96,AU$13))))</f>
        <v>1000000000000</v>
      </c>
      <c r="AV96" s="215">
        <f ca="1">IF($D96&lt;&gt;"Serviço",0,IF(AND(AUTOEVENTO="Manual",$M96=1),0,IF(OFFSET(CRONOPLE!$F$14,$M96,AV$13)="",10^12,OFFSET(CRONOPLE!$F$14,$M96,AV$13))))</f>
        <v>1000000000000</v>
      </c>
      <c r="AX96" s="216">
        <f ca="1">IF($D96&lt;&gt;"Serviço",0,IF(OR(AND(AUTOEVENTO="Manual",$M96=1),$M96&gt;(ROW(PLE.lastrow)-ROW(PLE.firstrow))),0,IF(OFFSET(PLE!$G$14,$M96,AX$13)="",10^12,OFFSET(PLE!$G$14,$M96,AX$13))))</f>
        <v>1000000000000</v>
      </c>
      <c r="AY96" s="216">
        <f ca="1">IF($D96&lt;&gt;"Serviço",0,IF(OR(AND(AUTOEVENTO="Manual",$M96=1),$M96&gt;(ROW(PLE.lastrow)-ROW(PLE.firstrow))),0,IF(OFFSET(PLE!$G$14,$M96,AY$13)="",10^12,OFFSET(PLE!$G$14,$M96,AY$13))))</f>
        <v>1000000000000</v>
      </c>
      <c r="AZ96" s="216">
        <f ca="1">IF($D96&lt;&gt;"Serviço",0,IF(OR(AND(AUTOEVENTO="Manual",$M96=1),$M96&gt;(ROW(PLE.lastrow)-ROW(PLE.firstrow))),0,IF(OFFSET(PLE!$G$14,$M96,AZ$13)="",10^12,OFFSET(PLE!$G$14,$M96,AZ$13))))</f>
        <v>1000000000000</v>
      </c>
      <c r="BA96" s="216">
        <f ca="1">IF($D96&lt;&gt;"Serviço",0,IF(OR(AND(AUTOEVENTO="Manual",$M96=1),$M96&gt;(ROW(PLE.lastrow)-ROW(PLE.firstrow))),0,IF(OFFSET(PLE!$G$14,$M96,BA$13)="",10^12,OFFSET(PLE!$G$14,$M96,BA$13))))</f>
        <v>1000000000000</v>
      </c>
      <c r="BB96" s="216">
        <f ca="1">IF($D96&lt;&gt;"Serviço",0,IF(OR(AND(AUTOEVENTO="Manual",$M96=1),$M96&gt;(ROW(PLE.lastrow)-ROW(PLE.firstrow))),0,IF(OFFSET(PLE!$G$14,$M96,BB$13)="",10^12,OFFSET(PLE!$G$14,$M96,BB$13))))</f>
        <v>1000000000000</v>
      </c>
      <c r="BC96" s="216">
        <f ca="1">IF($D96&lt;&gt;"Serviço",0,IF(OR(AND(AUTOEVENTO="Manual",$M96=1),$M96&gt;(ROW(PLE.lastrow)-ROW(PLE.firstrow))),0,IF(OFFSET(PLE!$G$14,$M96,BC$13)="",10^12,OFFSET(PLE!$G$14,$M96,BC$13))))</f>
        <v>1000000000000</v>
      </c>
      <c r="BD96" s="216">
        <f ca="1">IF($D96&lt;&gt;"Serviço",0,IF(OR(AND(AUTOEVENTO="Manual",$M96=1),$M96&gt;(ROW(PLE.lastrow)-ROW(PLE.firstrow))),0,IF(OFFSET(PLE!$G$14,$M96,BD$13)="",10^12,OFFSET(PLE!$G$14,$M96,BD$13))))</f>
        <v>1000000000000</v>
      </c>
      <c r="BE96" s="216">
        <f ca="1">IF($D96&lt;&gt;"Serviço",0,IF(OR(AND(AUTOEVENTO="Manual",$M96=1),$M96&gt;(ROW(PLE.lastrow)-ROW(PLE.firstrow))),0,IF(OFFSET(PLE!$G$14,$M96,BE$13)="",10^12,OFFSET(PLE!$G$14,$M96,BE$13))))</f>
        <v>1000000000000</v>
      </c>
      <c r="BF96" s="216">
        <f ca="1">IF($D96&lt;&gt;"Serviço",0,IF(OR(AND(AUTOEVENTO="Manual",$M96=1),$M96&gt;(ROW(PLE.lastrow)-ROW(PLE.firstrow))),0,IF(OFFSET(PLE!$G$14,$M96,BF$13)="",10^12,OFFSET(PLE!$G$14,$M96,BF$13))))</f>
        <v>1000000000000</v>
      </c>
      <c r="BG96" s="216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x14ac:dyDescent="0.2">
      <c r="A97" s="9" t="str">
        <f t="shared" ca="1" si="9"/>
        <v>37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5" t="str">
        <f ca="1">OFFSET(ORÇAMENTO!N$15,ROW(D97)-ROW(D$15),0)</f>
        <v>Serviço</v>
      </c>
      <c r="E97" s="205" t="str">
        <f ca="1">OFFSET(ORÇAMENTO!O$15,ROW(E97)-ROW(E$15),0)</f>
        <v>-</v>
      </c>
      <c r="F97" s="206" t="str">
        <f ca="1">OFFSET(ORÇAMENTO!R$15,ROW(F97)-ROW(F$15),0)</f>
        <v>(abra o arquivo 'Referência 05-2023.xls)</v>
      </c>
      <c r="G97" s="207" t="str">
        <f ca="1">IF($D97&lt;&gt;"Serviço","",OFFSET(ORÇAMENTO!S$15,ROW(G97)-ROW(G$15),0))</f>
        <v>-</v>
      </c>
      <c r="H97" s="151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1"/>
      <c r="K97" s="208"/>
      <c r="L97" s="209" t="s">
        <v>254</v>
      </c>
      <c r="M97" s="210">
        <f ca="1">IF($D97&lt;&gt;"Serviço","",IF(AUTOEVENTO="manual",$A97,IF(ISERROR(MATCH($A97,$A$15:OFFSET($A97,-1,0),0)),MAX($M$15:OFFSET(M97,-1,0))+1,INDEX($M$15:OFFSET(M97,-1,0),MATCH($A97,$A$15:OFFSET($A97,-1,0),0)))))</f>
        <v>5</v>
      </c>
      <c r="N97" s="211" t="str">
        <f ca="1">IF($D97&lt;&gt;"Serviço","",IF(AUTOEVENTO="Manual",IF($A97=0,"&lt;-- defina o número do agrupador",OFFSET(EVENTOS!$D$14,$A97,0)),OFFSET($F$15,$A97,0)))</f>
        <v>PINTURAS E TEXTURAS</v>
      </c>
      <c r="O97" s="212"/>
      <c r="Q97" s="212"/>
      <c r="R97" s="213"/>
      <c r="S97" s="213"/>
      <c r="T97" s="213"/>
      <c r="U97" s="213"/>
      <c r="V97" s="213"/>
      <c r="W97" s="213"/>
      <c r="X97" s="213"/>
      <c r="Y97" s="213"/>
      <c r="Z97" s="214"/>
      <c r="AB97" s="592">
        <f ca="1">IF(AND($D97="Serviço",AB$12&lt;&gt;0,$H97&gt;0,OR(AUTOEVENTO&lt;&gt;"manual",$M97&lt;&gt;1)),ROUND(OFFSET($P97,0,AB$13),15-13*ORÇAMENTO!$AF$7)/$H97*OFFSET(ORÇAMENTO!$X$15,ROW(AB97)-ROW(AB$15),0),0)</f>
        <v>0</v>
      </c>
      <c r="AC97" s="593">
        <f ca="1">IF(AND($D97="Serviço",AC$12&lt;&gt;0,$H97&gt;0,OR(AUTOEVENTO&lt;&gt;"manual",$M97&lt;&gt;1)),ROUND(OFFSET($P97,0,AC$13),15-13*ORÇAMENTO!$AF$7)/$H97*OFFSET(ORÇAMENTO!$X$15,ROW(AC97)-ROW(AC$15),0),0)</f>
        <v>0</v>
      </c>
      <c r="AD97" s="593">
        <f ca="1">IF(AND($D97="Serviço",AD$12&lt;&gt;0,$H97&gt;0,OR(AUTOEVENTO&lt;&gt;"manual",$M97&lt;&gt;1)),ROUND(OFFSET($P97,0,AD$13),15-13*ORÇAMENTO!$AF$7)/$H97*OFFSET(ORÇAMENTO!$X$15,ROW(AD97)-ROW(AD$15),0),0)</f>
        <v>0</v>
      </c>
      <c r="AE97" s="593">
        <f ca="1">IF(AND($D97="Serviço",AE$12&lt;&gt;0,$H97&gt;0,OR(AUTOEVENTO&lt;&gt;"manual",$M97&lt;&gt;1)),ROUND(OFFSET($P97,0,AE$13),15-13*ORÇAMENTO!$AF$7)/$H97*OFFSET(ORÇAMENTO!$X$15,ROW(AE97)-ROW(AE$15),0),0)</f>
        <v>0</v>
      </c>
      <c r="AF97" s="593">
        <f ca="1">IF(AND($D97="Serviço",AF$12&lt;&gt;0,$H97&gt;0,OR(AUTOEVENTO&lt;&gt;"manual",$M97&lt;&gt;1)),ROUND(OFFSET($P97,0,AF$13),15-13*ORÇAMENTO!$AF$7)/$H97*OFFSET(ORÇAMENTO!$X$15,ROW(AF97)-ROW(AF$15),0),0)</f>
        <v>0</v>
      </c>
      <c r="AG97" s="593">
        <f ca="1">IF(AND($D97="Serviço",AG$12&lt;&gt;0,$H97&gt;0,OR(AUTOEVENTO&lt;&gt;"manual",$M97&lt;&gt;1)),ROUND(OFFSET($P97,0,AG$13),15-13*ORÇAMENTO!$AF$7)/$H97*OFFSET(ORÇAMENTO!$X$15,ROW(AG97)-ROW(AG$15),0),0)</f>
        <v>0</v>
      </c>
      <c r="AH97" s="593">
        <f ca="1">IF(AND($D97="Serviço",AH$12&lt;&gt;0,$H97&gt;0,OR(AUTOEVENTO&lt;&gt;"manual",$M97&lt;&gt;1)),ROUND(OFFSET($P97,0,AH$13),15-13*ORÇAMENTO!$AF$7)/$H97*OFFSET(ORÇAMENTO!$X$15,ROW(AH97)-ROW(AH$15),0),0)</f>
        <v>0</v>
      </c>
      <c r="AI97" s="593">
        <f ca="1">IF(AND($D97="Serviço",AI$12&lt;&gt;0,$H97&gt;0,OR(AUTOEVENTO&lt;&gt;"manual",$M97&lt;&gt;1)),ROUND(OFFSET($P97,0,AI$13),15-13*ORÇAMENTO!$AF$7)/$H97*OFFSET(ORÇAMENTO!$X$15,ROW(AI97)-ROW(AI$15),0),0)</f>
        <v>0</v>
      </c>
      <c r="AJ97" s="593">
        <f ca="1">IF(AND($D97="Serviço",AJ$12&lt;&gt;0,$H97&gt;0,OR(AUTOEVENTO&lt;&gt;"manual",$M97&lt;&gt;1)),ROUND(OFFSET($P97,0,AJ$13),15-13*ORÇAMENTO!$AF$7)/$H97*OFFSET(ORÇAMENTO!$X$15,ROW(AJ97)-ROW(AJ$15),0),0)</f>
        <v>0</v>
      </c>
      <c r="AK97" s="594">
        <f ca="1">IF(AND($D97="Serviço",AK$12&lt;&gt;0,$H97&gt;0,OR(AUTOEVENTO&lt;&gt;"manual",$M97&lt;&gt;1)),ROUND(OFFSET($P97,0,AK$13),15-13*ORÇAMENTO!$AF$7)/$H97*OFFSET(ORÇAMENTO!$X$15,ROW(AK97)-ROW(AK$15),0),0)</f>
        <v>0</v>
      </c>
      <c r="AM97" s="215">
        <f ca="1">IF($D97&lt;&gt;"Serviço",0,IF(AND(AUTOEVENTO="Manual",$M97=1),0,IF(OFFSET(CRONOPLE!$F$14,$M97,AM$13)="",10^12,OFFSET(CRONOPLE!$F$14,$M97,AM$13))))</f>
        <v>2</v>
      </c>
      <c r="AN97" s="215">
        <f ca="1">IF($D97&lt;&gt;"Serviço",0,IF(AND(AUTOEVENTO="Manual",$M97=1),0,IF(OFFSET(CRONOPLE!$F$14,$M97,AN$13)="",10^12,OFFSET(CRONOPLE!$F$14,$M97,AN$13))))</f>
        <v>2</v>
      </c>
      <c r="AO97" s="215">
        <f ca="1">IF($D97&lt;&gt;"Serviço",0,IF(AND(AUTOEVENTO="Manual",$M97=1),0,IF(OFFSET(CRONOPLE!$F$14,$M97,AO$13)="",10^12,OFFSET(CRONOPLE!$F$14,$M97,AO$13))))</f>
        <v>3</v>
      </c>
      <c r="AP97" s="215">
        <f ca="1">IF($D97&lt;&gt;"Serviço",0,IF(AND(AUTOEVENTO="Manual",$M97=1),0,IF(OFFSET(CRONOPLE!$F$14,$M97,AP$13)="",10^12,OFFSET(CRONOPLE!$F$14,$M97,AP$13))))</f>
        <v>1000000000000</v>
      </c>
      <c r="AQ97" s="215">
        <f ca="1">IF($D97&lt;&gt;"Serviço",0,IF(AND(AUTOEVENTO="Manual",$M97=1),0,IF(OFFSET(CRONOPLE!$F$14,$M97,AQ$13)="",10^12,OFFSET(CRONOPLE!$F$14,$M97,AQ$13))))</f>
        <v>1000000000000</v>
      </c>
      <c r="AR97" s="215">
        <f ca="1">IF($D97&lt;&gt;"Serviço",0,IF(AND(AUTOEVENTO="Manual",$M97=1),0,IF(OFFSET(CRONOPLE!$F$14,$M97,AR$13)="",10^12,OFFSET(CRONOPLE!$F$14,$M97,AR$13))))</f>
        <v>1000000000000</v>
      </c>
      <c r="AS97" s="215">
        <f ca="1">IF($D97&lt;&gt;"Serviço",0,IF(AND(AUTOEVENTO="Manual",$M97=1),0,IF(OFFSET(CRONOPLE!$F$14,$M97,AS$13)="",10^12,OFFSET(CRONOPLE!$F$14,$M97,AS$13))))</f>
        <v>1000000000000</v>
      </c>
      <c r="AT97" s="215">
        <f ca="1">IF($D97&lt;&gt;"Serviço",0,IF(AND(AUTOEVENTO="Manual",$M97=1),0,IF(OFFSET(CRONOPLE!$F$14,$M97,AT$13)="",10^12,OFFSET(CRONOPLE!$F$14,$M97,AT$13))))</f>
        <v>1000000000000</v>
      </c>
      <c r="AU97" s="215">
        <f ca="1">IF($D97&lt;&gt;"Serviço",0,IF(AND(AUTOEVENTO="Manual",$M97=1),0,IF(OFFSET(CRONOPLE!$F$14,$M97,AU$13)="",10^12,OFFSET(CRONOPLE!$F$14,$M97,AU$13))))</f>
        <v>1000000000000</v>
      </c>
      <c r="AV97" s="215">
        <f ca="1">IF($D97&lt;&gt;"Serviço",0,IF(AND(AUTOEVENTO="Manual",$M97=1),0,IF(OFFSET(CRONOPLE!$F$14,$M97,AV$13)="",10^12,OFFSET(CRONOPLE!$F$14,$M97,AV$13))))</f>
        <v>1000000000000</v>
      </c>
      <c r="AX97" s="216">
        <f ca="1">IF($D97&lt;&gt;"Serviço",0,IF(OR(AND(AUTOEVENTO="Manual",$M97=1),$M97&gt;(ROW(PLE.lastrow)-ROW(PLE.firstrow))),0,IF(OFFSET(PLE!$G$14,$M97,AX$13)="",10^12,OFFSET(PLE!$G$14,$M97,AX$13))))</f>
        <v>1000000000000</v>
      </c>
      <c r="AY97" s="216">
        <f ca="1">IF($D97&lt;&gt;"Serviço",0,IF(OR(AND(AUTOEVENTO="Manual",$M97=1),$M97&gt;(ROW(PLE.lastrow)-ROW(PLE.firstrow))),0,IF(OFFSET(PLE!$G$14,$M97,AY$13)="",10^12,OFFSET(PLE!$G$14,$M97,AY$13))))</f>
        <v>1000000000000</v>
      </c>
      <c r="AZ97" s="216">
        <f ca="1">IF($D97&lt;&gt;"Serviço",0,IF(OR(AND(AUTOEVENTO="Manual",$M97=1),$M97&gt;(ROW(PLE.lastrow)-ROW(PLE.firstrow))),0,IF(OFFSET(PLE!$G$14,$M97,AZ$13)="",10^12,OFFSET(PLE!$G$14,$M97,AZ$13))))</f>
        <v>1000000000000</v>
      </c>
      <c r="BA97" s="216">
        <f ca="1">IF($D97&lt;&gt;"Serviço",0,IF(OR(AND(AUTOEVENTO="Manual",$M97=1),$M97&gt;(ROW(PLE.lastrow)-ROW(PLE.firstrow))),0,IF(OFFSET(PLE!$G$14,$M97,BA$13)="",10^12,OFFSET(PLE!$G$14,$M97,BA$13))))</f>
        <v>1000000000000</v>
      </c>
      <c r="BB97" s="216">
        <f ca="1">IF($D97&lt;&gt;"Serviço",0,IF(OR(AND(AUTOEVENTO="Manual",$M97=1),$M97&gt;(ROW(PLE.lastrow)-ROW(PLE.firstrow))),0,IF(OFFSET(PLE!$G$14,$M97,BB$13)="",10^12,OFFSET(PLE!$G$14,$M97,BB$13))))</f>
        <v>1000000000000</v>
      </c>
      <c r="BC97" s="216">
        <f ca="1">IF($D97&lt;&gt;"Serviço",0,IF(OR(AND(AUTOEVENTO="Manual",$M97=1),$M97&gt;(ROW(PLE.lastrow)-ROW(PLE.firstrow))),0,IF(OFFSET(PLE!$G$14,$M97,BC$13)="",10^12,OFFSET(PLE!$G$14,$M97,BC$13))))</f>
        <v>1000000000000</v>
      </c>
      <c r="BD97" s="216">
        <f ca="1">IF($D97&lt;&gt;"Serviço",0,IF(OR(AND(AUTOEVENTO="Manual",$M97=1),$M97&gt;(ROW(PLE.lastrow)-ROW(PLE.firstrow))),0,IF(OFFSET(PLE!$G$14,$M97,BD$13)="",10^12,OFFSET(PLE!$G$14,$M97,BD$13))))</f>
        <v>1000000000000</v>
      </c>
      <c r="BE97" s="216">
        <f ca="1">IF($D97&lt;&gt;"Serviço",0,IF(OR(AND(AUTOEVENTO="Manual",$M97=1),$M97&gt;(ROW(PLE.lastrow)-ROW(PLE.firstrow))),0,IF(OFFSET(PLE!$G$14,$M97,BE$13)="",10^12,OFFSET(PLE!$G$14,$M97,BE$13))))</f>
        <v>1000000000000</v>
      </c>
      <c r="BF97" s="216">
        <f ca="1">IF($D97&lt;&gt;"Serviço",0,IF(OR(AND(AUTOEVENTO="Manual",$M97=1),$M97&gt;(ROW(PLE.lastrow)-ROW(PLE.firstrow))),0,IF(OFFSET(PLE!$G$14,$M97,BF$13)="",10^12,OFFSET(PLE!$G$14,$M97,BF$13))))</f>
        <v>1000000000000</v>
      </c>
      <c r="BG97" s="216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9" t="str">
        <f t="shared" ca="1" si="9"/>
        <v>37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5" t="str">
        <f ca="1">OFFSET(ORÇAMENTO!N$15,ROW(D98)-ROW(D$15),0)</f>
        <v>Serviço</v>
      </c>
      <c r="E98" s="205" t="str">
        <f ca="1">OFFSET(ORÇAMENTO!O$15,ROW(E98)-ROW(E$15),0)</f>
        <v>-</v>
      </c>
      <c r="F98" s="206" t="str">
        <f ca="1">OFFSET(ORÇAMENTO!R$15,ROW(F98)-ROW(F$15),0)</f>
        <v>(abra o arquivo 'Referência 05-2023.xls)</v>
      </c>
      <c r="G98" s="207" t="str">
        <f ca="1">IF($D98&lt;&gt;"Serviço","",OFFSET(ORÇAMENTO!S$15,ROW(G98)-ROW(G$15),0))</f>
        <v>-</v>
      </c>
      <c r="H98" s="151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1"/>
      <c r="K98" s="208"/>
      <c r="L98" s="209" t="s">
        <v>254</v>
      </c>
      <c r="M98" s="210">
        <f ca="1">IF($D98&lt;&gt;"Serviço","",IF(AUTOEVENTO="manual",$A98,IF(ISERROR(MATCH($A98,$A$15:OFFSET($A98,-1,0),0)),MAX($M$15:OFFSET(M98,-1,0))+1,INDEX($M$15:OFFSET(M98,-1,0),MATCH($A98,$A$15:OFFSET($A98,-1,0),0)))))</f>
        <v>5</v>
      </c>
      <c r="N98" s="211" t="str">
        <f ca="1">IF($D98&lt;&gt;"Serviço","",IF(AUTOEVENTO="Manual",IF($A98=0,"&lt;-- defina o número do agrupador",OFFSET(EVENTOS!$D$14,$A98,0)),OFFSET($F$15,$A98,0)))</f>
        <v>PINTURAS E TEXTURAS</v>
      </c>
      <c r="O98" s="212"/>
      <c r="Q98" s="212"/>
      <c r="R98" s="213"/>
      <c r="S98" s="213"/>
      <c r="T98" s="213"/>
      <c r="U98" s="213"/>
      <c r="V98" s="213"/>
      <c r="W98" s="213"/>
      <c r="X98" s="213"/>
      <c r="Y98" s="213"/>
      <c r="Z98" s="214"/>
      <c r="AB98" s="592">
        <f ca="1">IF(AND($D98="Serviço",AB$12&lt;&gt;0,$H98&gt;0,OR(AUTOEVENTO&lt;&gt;"manual",$M98&lt;&gt;1)),ROUND(OFFSET($P98,0,AB$13),15-13*ORÇAMENTO!$AF$7)/$H98*OFFSET(ORÇAMENTO!$X$15,ROW(AB98)-ROW(AB$15),0),0)</f>
        <v>0</v>
      </c>
      <c r="AC98" s="593">
        <f ca="1">IF(AND($D98="Serviço",AC$12&lt;&gt;0,$H98&gt;0,OR(AUTOEVENTO&lt;&gt;"manual",$M98&lt;&gt;1)),ROUND(OFFSET($P98,0,AC$13),15-13*ORÇAMENTO!$AF$7)/$H98*OFFSET(ORÇAMENTO!$X$15,ROW(AC98)-ROW(AC$15),0),0)</f>
        <v>0</v>
      </c>
      <c r="AD98" s="593">
        <f ca="1">IF(AND($D98="Serviço",AD$12&lt;&gt;0,$H98&gt;0,OR(AUTOEVENTO&lt;&gt;"manual",$M98&lt;&gt;1)),ROUND(OFFSET($P98,0,AD$13),15-13*ORÇAMENTO!$AF$7)/$H98*OFFSET(ORÇAMENTO!$X$15,ROW(AD98)-ROW(AD$15),0),0)</f>
        <v>0</v>
      </c>
      <c r="AE98" s="593">
        <f ca="1">IF(AND($D98="Serviço",AE$12&lt;&gt;0,$H98&gt;0,OR(AUTOEVENTO&lt;&gt;"manual",$M98&lt;&gt;1)),ROUND(OFFSET($P98,0,AE$13),15-13*ORÇAMENTO!$AF$7)/$H98*OFFSET(ORÇAMENTO!$X$15,ROW(AE98)-ROW(AE$15),0),0)</f>
        <v>0</v>
      </c>
      <c r="AF98" s="593">
        <f ca="1">IF(AND($D98="Serviço",AF$12&lt;&gt;0,$H98&gt;0,OR(AUTOEVENTO&lt;&gt;"manual",$M98&lt;&gt;1)),ROUND(OFFSET($P98,0,AF$13),15-13*ORÇAMENTO!$AF$7)/$H98*OFFSET(ORÇAMENTO!$X$15,ROW(AF98)-ROW(AF$15),0),0)</f>
        <v>0</v>
      </c>
      <c r="AG98" s="593">
        <f ca="1">IF(AND($D98="Serviço",AG$12&lt;&gt;0,$H98&gt;0,OR(AUTOEVENTO&lt;&gt;"manual",$M98&lt;&gt;1)),ROUND(OFFSET($P98,0,AG$13),15-13*ORÇAMENTO!$AF$7)/$H98*OFFSET(ORÇAMENTO!$X$15,ROW(AG98)-ROW(AG$15),0),0)</f>
        <v>0</v>
      </c>
      <c r="AH98" s="593">
        <f ca="1">IF(AND($D98="Serviço",AH$12&lt;&gt;0,$H98&gt;0,OR(AUTOEVENTO&lt;&gt;"manual",$M98&lt;&gt;1)),ROUND(OFFSET($P98,0,AH$13),15-13*ORÇAMENTO!$AF$7)/$H98*OFFSET(ORÇAMENTO!$X$15,ROW(AH98)-ROW(AH$15),0),0)</f>
        <v>0</v>
      </c>
      <c r="AI98" s="593">
        <f ca="1">IF(AND($D98="Serviço",AI$12&lt;&gt;0,$H98&gt;0,OR(AUTOEVENTO&lt;&gt;"manual",$M98&lt;&gt;1)),ROUND(OFFSET($P98,0,AI$13),15-13*ORÇAMENTO!$AF$7)/$H98*OFFSET(ORÇAMENTO!$X$15,ROW(AI98)-ROW(AI$15),0),0)</f>
        <v>0</v>
      </c>
      <c r="AJ98" s="593">
        <f ca="1">IF(AND($D98="Serviço",AJ$12&lt;&gt;0,$H98&gt;0,OR(AUTOEVENTO&lt;&gt;"manual",$M98&lt;&gt;1)),ROUND(OFFSET($P98,0,AJ$13),15-13*ORÇAMENTO!$AF$7)/$H98*OFFSET(ORÇAMENTO!$X$15,ROW(AJ98)-ROW(AJ$15),0),0)</f>
        <v>0</v>
      </c>
      <c r="AK98" s="594">
        <f ca="1">IF(AND($D98="Serviço",AK$12&lt;&gt;0,$H98&gt;0,OR(AUTOEVENTO&lt;&gt;"manual",$M98&lt;&gt;1)),ROUND(OFFSET($P98,0,AK$13),15-13*ORÇAMENTO!$AF$7)/$H98*OFFSET(ORÇAMENTO!$X$15,ROW(AK98)-ROW(AK$15),0),0)</f>
        <v>0</v>
      </c>
      <c r="AM98" s="215">
        <f ca="1">IF($D98&lt;&gt;"Serviço",0,IF(AND(AUTOEVENTO="Manual",$M98=1),0,IF(OFFSET(CRONOPLE!$F$14,$M98,AM$13)="",10^12,OFFSET(CRONOPLE!$F$14,$M98,AM$13))))</f>
        <v>2</v>
      </c>
      <c r="AN98" s="215">
        <f ca="1">IF($D98&lt;&gt;"Serviço",0,IF(AND(AUTOEVENTO="Manual",$M98=1),0,IF(OFFSET(CRONOPLE!$F$14,$M98,AN$13)="",10^12,OFFSET(CRONOPLE!$F$14,$M98,AN$13))))</f>
        <v>2</v>
      </c>
      <c r="AO98" s="215">
        <f ca="1">IF($D98&lt;&gt;"Serviço",0,IF(AND(AUTOEVENTO="Manual",$M98=1),0,IF(OFFSET(CRONOPLE!$F$14,$M98,AO$13)="",10^12,OFFSET(CRONOPLE!$F$14,$M98,AO$13))))</f>
        <v>3</v>
      </c>
      <c r="AP98" s="215">
        <f ca="1">IF($D98&lt;&gt;"Serviço",0,IF(AND(AUTOEVENTO="Manual",$M98=1),0,IF(OFFSET(CRONOPLE!$F$14,$M98,AP$13)="",10^12,OFFSET(CRONOPLE!$F$14,$M98,AP$13))))</f>
        <v>1000000000000</v>
      </c>
      <c r="AQ98" s="215">
        <f ca="1">IF($D98&lt;&gt;"Serviço",0,IF(AND(AUTOEVENTO="Manual",$M98=1),0,IF(OFFSET(CRONOPLE!$F$14,$M98,AQ$13)="",10^12,OFFSET(CRONOPLE!$F$14,$M98,AQ$13))))</f>
        <v>1000000000000</v>
      </c>
      <c r="AR98" s="215">
        <f ca="1">IF($D98&lt;&gt;"Serviço",0,IF(AND(AUTOEVENTO="Manual",$M98=1),0,IF(OFFSET(CRONOPLE!$F$14,$M98,AR$13)="",10^12,OFFSET(CRONOPLE!$F$14,$M98,AR$13))))</f>
        <v>1000000000000</v>
      </c>
      <c r="AS98" s="215">
        <f ca="1">IF($D98&lt;&gt;"Serviço",0,IF(AND(AUTOEVENTO="Manual",$M98=1),0,IF(OFFSET(CRONOPLE!$F$14,$M98,AS$13)="",10^12,OFFSET(CRONOPLE!$F$14,$M98,AS$13))))</f>
        <v>1000000000000</v>
      </c>
      <c r="AT98" s="215">
        <f ca="1">IF($D98&lt;&gt;"Serviço",0,IF(AND(AUTOEVENTO="Manual",$M98=1),0,IF(OFFSET(CRONOPLE!$F$14,$M98,AT$13)="",10^12,OFFSET(CRONOPLE!$F$14,$M98,AT$13))))</f>
        <v>1000000000000</v>
      </c>
      <c r="AU98" s="215">
        <f ca="1">IF($D98&lt;&gt;"Serviço",0,IF(AND(AUTOEVENTO="Manual",$M98=1),0,IF(OFFSET(CRONOPLE!$F$14,$M98,AU$13)="",10^12,OFFSET(CRONOPLE!$F$14,$M98,AU$13))))</f>
        <v>1000000000000</v>
      </c>
      <c r="AV98" s="215">
        <f ca="1">IF($D98&lt;&gt;"Serviço",0,IF(AND(AUTOEVENTO="Manual",$M98=1),0,IF(OFFSET(CRONOPLE!$F$14,$M98,AV$13)="",10^12,OFFSET(CRONOPLE!$F$14,$M98,AV$13))))</f>
        <v>1000000000000</v>
      </c>
      <c r="AX98" s="216">
        <f ca="1">IF($D98&lt;&gt;"Serviço",0,IF(OR(AND(AUTOEVENTO="Manual",$M98=1),$M98&gt;(ROW(PLE.lastrow)-ROW(PLE.firstrow))),0,IF(OFFSET(PLE!$G$14,$M98,AX$13)="",10^12,OFFSET(PLE!$G$14,$M98,AX$13))))</f>
        <v>1000000000000</v>
      </c>
      <c r="AY98" s="216">
        <f ca="1">IF($D98&lt;&gt;"Serviço",0,IF(OR(AND(AUTOEVENTO="Manual",$M98=1),$M98&gt;(ROW(PLE.lastrow)-ROW(PLE.firstrow))),0,IF(OFFSET(PLE!$G$14,$M98,AY$13)="",10^12,OFFSET(PLE!$G$14,$M98,AY$13))))</f>
        <v>1000000000000</v>
      </c>
      <c r="AZ98" s="216">
        <f ca="1">IF($D98&lt;&gt;"Serviço",0,IF(OR(AND(AUTOEVENTO="Manual",$M98=1),$M98&gt;(ROW(PLE.lastrow)-ROW(PLE.firstrow))),0,IF(OFFSET(PLE!$G$14,$M98,AZ$13)="",10^12,OFFSET(PLE!$G$14,$M98,AZ$13))))</f>
        <v>1000000000000</v>
      </c>
      <c r="BA98" s="216">
        <f ca="1">IF($D98&lt;&gt;"Serviço",0,IF(OR(AND(AUTOEVENTO="Manual",$M98=1),$M98&gt;(ROW(PLE.lastrow)-ROW(PLE.firstrow))),0,IF(OFFSET(PLE!$G$14,$M98,BA$13)="",10^12,OFFSET(PLE!$G$14,$M98,BA$13))))</f>
        <v>1000000000000</v>
      </c>
      <c r="BB98" s="216">
        <f ca="1">IF($D98&lt;&gt;"Serviço",0,IF(OR(AND(AUTOEVENTO="Manual",$M98=1),$M98&gt;(ROW(PLE.lastrow)-ROW(PLE.firstrow))),0,IF(OFFSET(PLE!$G$14,$M98,BB$13)="",10^12,OFFSET(PLE!$G$14,$M98,BB$13))))</f>
        <v>1000000000000</v>
      </c>
      <c r="BC98" s="216">
        <f ca="1">IF($D98&lt;&gt;"Serviço",0,IF(OR(AND(AUTOEVENTO="Manual",$M98=1),$M98&gt;(ROW(PLE.lastrow)-ROW(PLE.firstrow))),0,IF(OFFSET(PLE!$G$14,$M98,BC$13)="",10^12,OFFSET(PLE!$G$14,$M98,BC$13))))</f>
        <v>1000000000000</v>
      </c>
      <c r="BD98" s="216">
        <f ca="1">IF($D98&lt;&gt;"Serviço",0,IF(OR(AND(AUTOEVENTO="Manual",$M98=1),$M98&gt;(ROW(PLE.lastrow)-ROW(PLE.firstrow))),0,IF(OFFSET(PLE!$G$14,$M98,BD$13)="",10^12,OFFSET(PLE!$G$14,$M98,BD$13))))</f>
        <v>1000000000000</v>
      </c>
      <c r="BE98" s="216">
        <f ca="1">IF($D98&lt;&gt;"Serviço",0,IF(OR(AND(AUTOEVENTO="Manual",$M98=1),$M98&gt;(ROW(PLE.lastrow)-ROW(PLE.firstrow))),0,IF(OFFSET(PLE!$G$14,$M98,BE$13)="",10^12,OFFSET(PLE!$G$14,$M98,BE$13))))</f>
        <v>1000000000000</v>
      </c>
      <c r="BF98" s="216">
        <f ca="1">IF($D98&lt;&gt;"Serviço",0,IF(OR(AND(AUTOEVENTO="Manual",$M98=1),$M98&gt;(ROW(PLE.lastrow)-ROW(PLE.firstrow))),0,IF(OFFSET(PLE!$G$14,$M98,BF$13)="",10^12,OFFSET(PLE!$G$14,$M98,BF$13))))</f>
        <v>1000000000000</v>
      </c>
      <c r="BG98" s="216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37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5" t="str">
        <f ca="1">OFFSET(ORÇAMENTO!N$15,ROW(D99)-ROW(D$15),0)</f>
        <v>Serviço</v>
      </c>
      <c r="E99" s="205" t="str">
        <f ca="1">OFFSET(ORÇAMENTO!O$15,ROW(E99)-ROW(E$15),0)</f>
        <v>-</v>
      </c>
      <c r="F99" s="206" t="str">
        <f ca="1">OFFSET(ORÇAMENTO!R$15,ROW(F99)-ROW(F$15),0)</f>
        <v>(abra o arquivo 'Referência 05-2023.xls)</v>
      </c>
      <c r="G99" s="207" t="str">
        <f ca="1">IF($D99&lt;&gt;"Serviço","",OFFSET(ORÇAMENTO!S$15,ROW(G99)-ROW(G$15),0))</f>
        <v>-</v>
      </c>
      <c r="H99" s="151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1"/>
      <c r="K99" s="208"/>
      <c r="L99" s="209" t="s">
        <v>254</v>
      </c>
      <c r="M99" s="210">
        <f ca="1">IF($D99&lt;&gt;"Serviço","",IF(AUTOEVENTO="manual",$A99,IF(ISERROR(MATCH($A99,$A$15:OFFSET($A99,-1,0),0)),MAX($M$15:OFFSET(M99,-1,0))+1,INDEX($M$15:OFFSET(M99,-1,0),MATCH($A99,$A$15:OFFSET($A99,-1,0),0)))))</f>
        <v>5</v>
      </c>
      <c r="N99" s="211" t="str">
        <f ca="1">IF($D99&lt;&gt;"Serviço","",IF(AUTOEVENTO="Manual",IF($A99=0,"&lt;-- defina o número do agrupador",OFFSET(EVENTOS!$D$14,$A99,0)),OFFSET($F$15,$A99,0)))</f>
        <v>PINTURAS E TEXTURAS</v>
      </c>
      <c r="O99" s="212"/>
      <c r="Q99" s="212"/>
      <c r="R99" s="213"/>
      <c r="S99" s="213"/>
      <c r="T99" s="213"/>
      <c r="U99" s="213"/>
      <c r="V99" s="213"/>
      <c r="W99" s="213"/>
      <c r="X99" s="213"/>
      <c r="Y99" s="213"/>
      <c r="Z99" s="214"/>
      <c r="AB99" s="592">
        <f ca="1">IF(AND($D99="Serviço",AB$12&lt;&gt;0,$H99&gt;0,OR(AUTOEVENTO&lt;&gt;"manual",$M99&lt;&gt;1)),ROUND(OFFSET($P99,0,AB$13),15-13*ORÇAMENTO!$AF$7)/$H99*OFFSET(ORÇAMENTO!$X$15,ROW(AB99)-ROW(AB$15),0),0)</f>
        <v>0</v>
      </c>
      <c r="AC99" s="593">
        <f ca="1">IF(AND($D99="Serviço",AC$12&lt;&gt;0,$H99&gt;0,OR(AUTOEVENTO&lt;&gt;"manual",$M99&lt;&gt;1)),ROUND(OFFSET($P99,0,AC$13),15-13*ORÇAMENTO!$AF$7)/$H99*OFFSET(ORÇAMENTO!$X$15,ROW(AC99)-ROW(AC$15),0),0)</f>
        <v>0</v>
      </c>
      <c r="AD99" s="593">
        <f ca="1">IF(AND($D99="Serviço",AD$12&lt;&gt;0,$H99&gt;0,OR(AUTOEVENTO&lt;&gt;"manual",$M99&lt;&gt;1)),ROUND(OFFSET($P99,0,AD$13),15-13*ORÇAMENTO!$AF$7)/$H99*OFFSET(ORÇAMENTO!$X$15,ROW(AD99)-ROW(AD$15),0),0)</f>
        <v>0</v>
      </c>
      <c r="AE99" s="593">
        <f ca="1">IF(AND($D99="Serviço",AE$12&lt;&gt;0,$H99&gt;0,OR(AUTOEVENTO&lt;&gt;"manual",$M99&lt;&gt;1)),ROUND(OFFSET($P99,0,AE$13),15-13*ORÇAMENTO!$AF$7)/$H99*OFFSET(ORÇAMENTO!$X$15,ROW(AE99)-ROW(AE$15),0),0)</f>
        <v>0</v>
      </c>
      <c r="AF99" s="593">
        <f ca="1">IF(AND($D99="Serviço",AF$12&lt;&gt;0,$H99&gt;0,OR(AUTOEVENTO&lt;&gt;"manual",$M99&lt;&gt;1)),ROUND(OFFSET($P99,0,AF$13),15-13*ORÇAMENTO!$AF$7)/$H99*OFFSET(ORÇAMENTO!$X$15,ROW(AF99)-ROW(AF$15),0),0)</f>
        <v>0</v>
      </c>
      <c r="AG99" s="593">
        <f ca="1">IF(AND($D99="Serviço",AG$12&lt;&gt;0,$H99&gt;0,OR(AUTOEVENTO&lt;&gt;"manual",$M99&lt;&gt;1)),ROUND(OFFSET($P99,0,AG$13),15-13*ORÇAMENTO!$AF$7)/$H99*OFFSET(ORÇAMENTO!$X$15,ROW(AG99)-ROW(AG$15),0),0)</f>
        <v>0</v>
      </c>
      <c r="AH99" s="593">
        <f ca="1">IF(AND($D99="Serviço",AH$12&lt;&gt;0,$H99&gt;0,OR(AUTOEVENTO&lt;&gt;"manual",$M99&lt;&gt;1)),ROUND(OFFSET($P99,0,AH$13),15-13*ORÇAMENTO!$AF$7)/$H99*OFFSET(ORÇAMENTO!$X$15,ROW(AH99)-ROW(AH$15),0),0)</f>
        <v>0</v>
      </c>
      <c r="AI99" s="593">
        <f ca="1">IF(AND($D99="Serviço",AI$12&lt;&gt;0,$H99&gt;0,OR(AUTOEVENTO&lt;&gt;"manual",$M99&lt;&gt;1)),ROUND(OFFSET($P99,0,AI$13),15-13*ORÇAMENTO!$AF$7)/$H99*OFFSET(ORÇAMENTO!$X$15,ROW(AI99)-ROW(AI$15),0),0)</f>
        <v>0</v>
      </c>
      <c r="AJ99" s="593">
        <f ca="1">IF(AND($D99="Serviço",AJ$12&lt;&gt;0,$H99&gt;0,OR(AUTOEVENTO&lt;&gt;"manual",$M99&lt;&gt;1)),ROUND(OFFSET($P99,0,AJ$13),15-13*ORÇAMENTO!$AF$7)/$H99*OFFSET(ORÇAMENTO!$X$15,ROW(AJ99)-ROW(AJ$15),0),0)</f>
        <v>0</v>
      </c>
      <c r="AK99" s="594">
        <f ca="1">IF(AND($D99="Serviço",AK$12&lt;&gt;0,$H99&gt;0,OR(AUTOEVENTO&lt;&gt;"manual",$M99&lt;&gt;1)),ROUND(OFFSET($P99,0,AK$13),15-13*ORÇAMENTO!$AF$7)/$H99*OFFSET(ORÇAMENTO!$X$15,ROW(AK99)-ROW(AK$15),0),0)</f>
        <v>0</v>
      </c>
      <c r="AM99" s="215">
        <f ca="1">IF($D99&lt;&gt;"Serviço",0,IF(AND(AUTOEVENTO="Manual",$M99=1),0,IF(OFFSET(CRONOPLE!$F$14,$M99,AM$13)="",10^12,OFFSET(CRONOPLE!$F$14,$M99,AM$13))))</f>
        <v>2</v>
      </c>
      <c r="AN99" s="215">
        <f ca="1">IF($D99&lt;&gt;"Serviço",0,IF(AND(AUTOEVENTO="Manual",$M99=1),0,IF(OFFSET(CRONOPLE!$F$14,$M99,AN$13)="",10^12,OFFSET(CRONOPLE!$F$14,$M99,AN$13))))</f>
        <v>2</v>
      </c>
      <c r="AO99" s="215">
        <f ca="1">IF($D99&lt;&gt;"Serviço",0,IF(AND(AUTOEVENTO="Manual",$M99=1),0,IF(OFFSET(CRONOPLE!$F$14,$M99,AO$13)="",10^12,OFFSET(CRONOPLE!$F$14,$M99,AO$13))))</f>
        <v>3</v>
      </c>
      <c r="AP99" s="215">
        <f ca="1">IF($D99&lt;&gt;"Serviço",0,IF(AND(AUTOEVENTO="Manual",$M99=1),0,IF(OFFSET(CRONOPLE!$F$14,$M99,AP$13)="",10^12,OFFSET(CRONOPLE!$F$14,$M99,AP$13))))</f>
        <v>1000000000000</v>
      </c>
      <c r="AQ99" s="215">
        <f ca="1">IF($D99&lt;&gt;"Serviço",0,IF(AND(AUTOEVENTO="Manual",$M99=1),0,IF(OFFSET(CRONOPLE!$F$14,$M99,AQ$13)="",10^12,OFFSET(CRONOPLE!$F$14,$M99,AQ$13))))</f>
        <v>1000000000000</v>
      </c>
      <c r="AR99" s="215">
        <f ca="1">IF($D99&lt;&gt;"Serviço",0,IF(AND(AUTOEVENTO="Manual",$M99=1),0,IF(OFFSET(CRONOPLE!$F$14,$M99,AR$13)="",10^12,OFFSET(CRONOPLE!$F$14,$M99,AR$13))))</f>
        <v>1000000000000</v>
      </c>
      <c r="AS99" s="215">
        <f ca="1">IF($D99&lt;&gt;"Serviço",0,IF(AND(AUTOEVENTO="Manual",$M99=1),0,IF(OFFSET(CRONOPLE!$F$14,$M99,AS$13)="",10^12,OFFSET(CRONOPLE!$F$14,$M99,AS$13))))</f>
        <v>1000000000000</v>
      </c>
      <c r="AT99" s="215">
        <f ca="1">IF($D99&lt;&gt;"Serviço",0,IF(AND(AUTOEVENTO="Manual",$M99=1),0,IF(OFFSET(CRONOPLE!$F$14,$M99,AT$13)="",10^12,OFFSET(CRONOPLE!$F$14,$M99,AT$13))))</f>
        <v>1000000000000</v>
      </c>
      <c r="AU99" s="215">
        <f ca="1">IF($D99&lt;&gt;"Serviço",0,IF(AND(AUTOEVENTO="Manual",$M99=1),0,IF(OFFSET(CRONOPLE!$F$14,$M99,AU$13)="",10^12,OFFSET(CRONOPLE!$F$14,$M99,AU$13))))</f>
        <v>1000000000000</v>
      </c>
      <c r="AV99" s="215">
        <f ca="1">IF($D99&lt;&gt;"Serviço",0,IF(AND(AUTOEVENTO="Manual",$M99=1),0,IF(OFFSET(CRONOPLE!$F$14,$M99,AV$13)="",10^12,OFFSET(CRONOPLE!$F$14,$M99,AV$13))))</f>
        <v>1000000000000</v>
      </c>
      <c r="AX99" s="216">
        <f ca="1">IF($D99&lt;&gt;"Serviço",0,IF(OR(AND(AUTOEVENTO="Manual",$M99=1),$M99&gt;(ROW(PLE.lastrow)-ROW(PLE.firstrow))),0,IF(OFFSET(PLE!$G$14,$M99,AX$13)="",10^12,OFFSET(PLE!$G$14,$M99,AX$13))))</f>
        <v>1000000000000</v>
      </c>
      <c r="AY99" s="216">
        <f ca="1">IF($D99&lt;&gt;"Serviço",0,IF(OR(AND(AUTOEVENTO="Manual",$M99=1),$M99&gt;(ROW(PLE.lastrow)-ROW(PLE.firstrow))),0,IF(OFFSET(PLE!$G$14,$M99,AY$13)="",10^12,OFFSET(PLE!$G$14,$M99,AY$13))))</f>
        <v>1000000000000</v>
      </c>
      <c r="AZ99" s="216">
        <f ca="1">IF($D99&lt;&gt;"Serviço",0,IF(OR(AND(AUTOEVENTO="Manual",$M99=1),$M99&gt;(ROW(PLE.lastrow)-ROW(PLE.firstrow))),0,IF(OFFSET(PLE!$G$14,$M99,AZ$13)="",10^12,OFFSET(PLE!$G$14,$M99,AZ$13))))</f>
        <v>1000000000000</v>
      </c>
      <c r="BA99" s="216">
        <f ca="1">IF($D99&lt;&gt;"Serviço",0,IF(OR(AND(AUTOEVENTO="Manual",$M99=1),$M99&gt;(ROW(PLE.lastrow)-ROW(PLE.firstrow))),0,IF(OFFSET(PLE!$G$14,$M99,BA$13)="",10^12,OFFSET(PLE!$G$14,$M99,BA$13))))</f>
        <v>1000000000000</v>
      </c>
      <c r="BB99" s="216">
        <f ca="1">IF($D99&lt;&gt;"Serviço",0,IF(OR(AND(AUTOEVENTO="Manual",$M99=1),$M99&gt;(ROW(PLE.lastrow)-ROW(PLE.firstrow))),0,IF(OFFSET(PLE!$G$14,$M99,BB$13)="",10^12,OFFSET(PLE!$G$14,$M99,BB$13))))</f>
        <v>1000000000000</v>
      </c>
      <c r="BC99" s="216">
        <f ca="1">IF($D99&lt;&gt;"Serviço",0,IF(OR(AND(AUTOEVENTO="Manual",$M99=1),$M99&gt;(ROW(PLE.lastrow)-ROW(PLE.firstrow))),0,IF(OFFSET(PLE!$G$14,$M99,BC$13)="",10^12,OFFSET(PLE!$G$14,$M99,BC$13))))</f>
        <v>1000000000000</v>
      </c>
      <c r="BD99" s="216">
        <f ca="1">IF($D99&lt;&gt;"Serviço",0,IF(OR(AND(AUTOEVENTO="Manual",$M99=1),$M99&gt;(ROW(PLE.lastrow)-ROW(PLE.firstrow))),0,IF(OFFSET(PLE!$G$14,$M99,BD$13)="",10^12,OFFSET(PLE!$G$14,$M99,BD$13))))</f>
        <v>1000000000000</v>
      </c>
      <c r="BE99" s="216">
        <f ca="1">IF($D99&lt;&gt;"Serviço",0,IF(OR(AND(AUTOEVENTO="Manual",$M99=1),$M99&gt;(ROW(PLE.lastrow)-ROW(PLE.firstrow))),0,IF(OFFSET(PLE!$G$14,$M99,BE$13)="",10^12,OFFSET(PLE!$G$14,$M99,BE$13))))</f>
        <v>1000000000000</v>
      </c>
      <c r="BF99" s="216">
        <f ca="1">IF($D99&lt;&gt;"Serviço",0,IF(OR(AND(AUTOEVENTO="Manual",$M99=1),$M99&gt;(ROW(PLE.lastrow)-ROW(PLE.firstrow))),0,IF(OFFSET(PLE!$G$14,$M99,BF$13)="",10^12,OFFSET(PLE!$G$14,$M99,BF$13))))</f>
        <v>1000000000000</v>
      </c>
      <c r="BG99" s="216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x14ac:dyDescent="0.2">
      <c r="A100" s="9" t="str">
        <f t="shared" ca="1" si="9"/>
        <v>37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5" t="str">
        <f ca="1">OFFSET(ORÇAMENTO!N$15,ROW(D100)-ROW(D$15),0)</f>
        <v>Serviço</v>
      </c>
      <c r="E100" s="205" t="str">
        <f ca="1">OFFSET(ORÇAMENTO!O$15,ROW(E100)-ROW(E$15),0)</f>
        <v>-</v>
      </c>
      <c r="F100" s="206" t="str">
        <f ca="1">OFFSET(ORÇAMENTO!R$15,ROW(F100)-ROW(F$15),0)</f>
        <v>(abra o arquivo 'Referência 05-2023.xls)</v>
      </c>
      <c r="G100" s="207" t="str">
        <f ca="1">IF($D100&lt;&gt;"Serviço","",OFFSET(ORÇAMENTO!S$15,ROW(G100)-ROW(G$15),0))</f>
        <v>-</v>
      </c>
      <c r="H100" s="151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1"/>
      <c r="K100" s="208"/>
      <c r="L100" s="209" t="s">
        <v>254</v>
      </c>
      <c r="M100" s="210">
        <f ca="1">IF($D100&lt;&gt;"Serviço","",IF(AUTOEVENTO="manual",$A100,IF(ISERROR(MATCH($A100,$A$15:OFFSET($A100,-1,0),0)),MAX($M$15:OFFSET(M100,-1,0))+1,INDEX($M$15:OFFSET(M100,-1,0),MATCH($A100,$A$15:OFFSET($A100,-1,0),0)))))</f>
        <v>5</v>
      </c>
      <c r="N100" s="211" t="str">
        <f ca="1">IF($D100&lt;&gt;"Serviço","",IF(AUTOEVENTO="Manual",IF($A100=0,"&lt;-- defina o número do agrupador",OFFSET(EVENTOS!$D$14,$A100,0)),OFFSET($F$15,$A100,0)))</f>
        <v>PINTURAS E TEXTURAS</v>
      </c>
      <c r="O100" s="212"/>
      <c r="Q100" s="212"/>
      <c r="R100" s="213"/>
      <c r="S100" s="213"/>
      <c r="T100" s="213"/>
      <c r="U100" s="213"/>
      <c r="V100" s="213"/>
      <c r="W100" s="213"/>
      <c r="X100" s="213"/>
      <c r="Y100" s="213"/>
      <c r="Z100" s="214"/>
      <c r="AB100" s="592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3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3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3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3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3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3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3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3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4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5">
        <f ca="1">IF($D100&lt;&gt;"Serviço",0,IF(AND(AUTOEVENTO="Manual",$M100=1),0,IF(OFFSET(CRONOPLE!$F$14,$M100,AM$13)="",10^12,OFFSET(CRONOPLE!$F$14,$M100,AM$13))))</f>
        <v>2</v>
      </c>
      <c r="AN100" s="215">
        <f ca="1">IF($D100&lt;&gt;"Serviço",0,IF(AND(AUTOEVENTO="Manual",$M100=1),0,IF(OFFSET(CRONOPLE!$F$14,$M100,AN$13)="",10^12,OFFSET(CRONOPLE!$F$14,$M100,AN$13))))</f>
        <v>2</v>
      </c>
      <c r="AO100" s="215">
        <f ca="1">IF($D100&lt;&gt;"Serviço",0,IF(AND(AUTOEVENTO="Manual",$M100=1),0,IF(OFFSET(CRONOPLE!$F$14,$M100,AO$13)="",10^12,OFFSET(CRONOPLE!$F$14,$M100,AO$13))))</f>
        <v>3</v>
      </c>
      <c r="AP100" s="215">
        <f ca="1">IF($D100&lt;&gt;"Serviço",0,IF(AND(AUTOEVENTO="Manual",$M100=1),0,IF(OFFSET(CRONOPLE!$F$14,$M100,AP$13)="",10^12,OFFSET(CRONOPLE!$F$14,$M100,AP$13))))</f>
        <v>1000000000000</v>
      </c>
      <c r="AQ100" s="215">
        <f ca="1">IF($D100&lt;&gt;"Serviço",0,IF(AND(AUTOEVENTO="Manual",$M100=1),0,IF(OFFSET(CRONOPLE!$F$14,$M100,AQ$13)="",10^12,OFFSET(CRONOPLE!$F$14,$M100,AQ$13))))</f>
        <v>1000000000000</v>
      </c>
      <c r="AR100" s="215">
        <f ca="1">IF($D100&lt;&gt;"Serviço",0,IF(AND(AUTOEVENTO="Manual",$M100=1),0,IF(OFFSET(CRONOPLE!$F$14,$M100,AR$13)="",10^12,OFFSET(CRONOPLE!$F$14,$M100,AR$13))))</f>
        <v>1000000000000</v>
      </c>
      <c r="AS100" s="215">
        <f ca="1">IF($D100&lt;&gt;"Serviço",0,IF(AND(AUTOEVENTO="Manual",$M100=1),0,IF(OFFSET(CRONOPLE!$F$14,$M100,AS$13)="",10^12,OFFSET(CRONOPLE!$F$14,$M100,AS$13))))</f>
        <v>1000000000000</v>
      </c>
      <c r="AT100" s="215">
        <f ca="1">IF($D100&lt;&gt;"Serviço",0,IF(AND(AUTOEVENTO="Manual",$M100=1),0,IF(OFFSET(CRONOPLE!$F$14,$M100,AT$13)="",10^12,OFFSET(CRONOPLE!$F$14,$M100,AT$13))))</f>
        <v>1000000000000</v>
      </c>
      <c r="AU100" s="215">
        <f ca="1">IF($D100&lt;&gt;"Serviço",0,IF(AND(AUTOEVENTO="Manual",$M100=1),0,IF(OFFSET(CRONOPLE!$F$14,$M100,AU$13)="",10^12,OFFSET(CRONOPLE!$F$14,$M100,AU$13))))</f>
        <v>1000000000000</v>
      </c>
      <c r="AV100" s="215">
        <f ca="1">IF($D100&lt;&gt;"Serviço",0,IF(AND(AUTOEVENTO="Manual",$M100=1),0,IF(OFFSET(CRONOPLE!$F$14,$M100,AV$13)="",10^12,OFFSET(CRONOPLE!$F$14,$M100,AV$13))))</f>
        <v>1000000000000</v>
      </c>
      <c r="AX100" s="216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6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6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6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6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6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6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6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6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6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37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5" t="str">
        <f ca="1">OFFSET(ORÇAMENTO!N$15,ROW(D101)-ROW(D$15),0)</f>
        <v>Serviço</v>
      </c>
      <c r="E101" s="205" t="str">
        <f ca="1">OFFSET(ORÇAMENTO!O$15,ROW(E101)-ROW(E$15),0)</f>
        <v>-</v>
      </c>
      <c r="F101" s="206" t="str">
        <f ca="1">OFFSET(ORÇAMENTO!R$15,ROW(F101)-ROW(F$15),0)</f>
        <v>(abra o arquivo 'Referência 05-2023.xls)</v>
      </c>
      <c r="G101" s="207" t="str">
        <f ca="1">IF($D101&lt;&gt;"Serviço","",OFFSET(ORÇAMENTO!S$15,ROW(G101)-ROW(G$15),0))</f>
        <v>-</v>
      </c>
      <c r="H101" s="151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1"/>
      <c r="K101" s="208"/>
      <c r="L101" s="209" t="s">
        <v>254</v>
      </c>
      <c r="M101" s="210">
        <f ca="1">IF($D101&lt;&gt;"Serviço","",IF(AUTOEVENTO="manual",$A101,IF(ISERROR(MATCH($A101,$A$15:OFFSET($A101,-1,0),0)),MAX($M$15:OFFSET(M101,-1,0))+1,INDEX($M$15:OFFSET(M101,-1,0),MATCH($A101,$A$15:OFFSET($A101,-1,0),0)))))</f>
        <v>5</v>
      </c>
      <c r="N101" s="211" t="str">
        <f ca="1">IF($D101&lt;&gt;"Serviço","",IF(AUTOEVENTO="Manual",IF($A101=0,"&lt;-- defina o número do agrupador",OFFSET(EVENTOS!$D$14,$A101,0)),OFFSET($F$15,$A101,0)))</f>
        <v>PINTURAS E TEXTURAS</v>
      </c>
      <c r="O101" s="212"/>
      <c r="Q101" s="212"/>
      <c r="R101" s="213"/>
      <c r="S101" s="213"/>
      <c r="T101" s="213"/>
      <c r="U101" s="213"/>
      <c r="V101" s="213"/>
      <c r="W101" s="213"/>
      <c r="X101" s="213"/>
      <c r="Y101" s="213"/>
      <c r="Z101" s="214"/>
      <c r="AB101" s="592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3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3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3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3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3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3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3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3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4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5">
        <f ca="1">IF($D101&lt;&gt;"Serviço",0,IF(AND(AUTOEVENTO="Manual",$M101=1),0,IF(OFFSET(CRONOPLE!$F$14,$M101,AM$13)="",10^12,OFFSET(CRONOPLE!$F$14,$M101,AM$13))))</f>
        <v>2</v>
      </c>
      <c r="AN101" s="215">
        <f ca="1">IF($D101&lt;&gt;"Serviço",0,IF(AND(AUTOEVENTO="Manual",$M101=1),0,IF(OFFSET(CRONOPLE!$F$14,$M101,AN$13)="",10^12,OFFSET(CRONOPLE!$F$14,$M101,AN$13))))</f>
        <v>2</v>
      </c>
      <c r="AO101" s="215">
        <f ca="1">IF($D101&lt;&gt;"Serviço",0,IF(AND(AUTOEVENTO="Manual",$M101=1),0,IF(OFFSET(CRONOPLE!$F$14,$M101,AO$13)="",10^12,OFFSET(CRONOPLE!$F$14,$M101,AO$13))))</f>
        <v>3</v>
      </c>
      <c r="AP101" s="215">
        <f ca="1">IF($D101&lt;&gt;"Serviço",0,IF(AND(AUTOEVENTO="Manual",$M101=1),0,IF(OFFSET(CRONOPLE!$F$14,$M101,AP$13)="",10^12,OFFSET(CRONOPLE!$F$14,$M101,AP$13))))</f>
        <v>1000000000000</v>
      </c>
      <c r="AQ101" s="215">
        <f ca="1">IF($D101&lt;&gt;"Serviço",0,IF(AND(AUTOEVENTO="Manual",$M101=1),0,IF(OFFSET(CRONOPLE!$F$14,$M101,AQ$13)="",10^12,OFFSET(CRONOPLE!$F$14,$M101,AQ$13))))</f>
        <v>1000000000000</v>
      </c>
      <c r="AR101" s="215">
        <f ca="1">IF($D101&lt;&gt;"Serviço",0,IF(AND(AUTOEVENTO="Manual",$M101=1),0,IF(OFFSET(CRONOPLE!$F$14,$M101,AR$13)="",10^12,OFFSET(CRONOPLE!$F$14,$M101,AR$13))))</f>
        <v>1000000000000</v>
      </c>
      <c r="AS101" s="215">
        <f ca="1">IF($D101&lt;&gt;"Serviço",0,IF(AND(AUTOEVENTO="Manual",$M101=1),0,IF(OFFSET(CRONOPLE!$F$14,$M101,AS$13)="",10^12,OFFSET(CRONOPLE!$F$14,$M101,AS$13))))</f>
        <v>1000000000000</v>
      </c>
      <c r="AT101" s="215">
        <f ca="1">IF($D101&lt;&gt;"Serviço",0,IF(AND(AUTOEVENTO="Manual",$M101=1),0,IF(OFFSET(CRONOPLE!$F$14,$M101,AT$13)="",10^12,OFFSET(CRONOPLE!$F$14,$M101,AT$13))))</f>
        <v>1000000000000</v>
      </c>
      <c r="AU101" s="215">
        <f ca="1">IF($D101&lt;&gt;"Serviço",0,IF(AND(AUTOEVENTO="Manual",$M101=1),0,IF(OFFSET(CRONOPLE!$F$14,$M101,AU$13)="",10^12,OFFSET(CRONOPLE!$F$14,$M101,AU$13))))</f>
        <v>1000000000000</v>
      </c>
      <c r="AV101" s="215">
        <f ca="1">IF($D101&lt;&gt;"Serviço",0,IF(AND(AUTOEVENTO="Manual",$M101=1),0,IF(OFFSET(CRONOPLE!$F$14,$M101,AV$13)="",10^12,OFFSET(CRONOPLE!$F$14,$M101,AV$13))))</f>
        <v>1000000000000</v>
      </c>
      <c r="AX101" s="216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6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6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6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6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6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6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6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6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6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9" t="str">
        <f t="shared" ca="1" si="9"/>
        <v>37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5" t="str">
        <f ca="1">OFFSET(ORÇAMENTO!N$15,ROW(D102)-ROW(D$15),0)</f>
        <v>Serviço</v>
      </c>
      <c r="E102" s="205" t="str">
        <f ca="1">OFFSET(ORÇAMENTO!O$15,ROW(E102)-ROW(E$15),0)</f>
        <v>-</v>
      </c>
      <c r="F102" s="206" t="str">
        <f ca="1">OFFSET(ORÇAMENTO!R$15,ROW(F102)-ROW(F$15),0)</f>
        <v>(abra o arquivo 'Referência 05-2023.xls)</v>
      </c>
      <c r="G102" s="207" t="str">
        <f ca="1">IF($D102&lt;&gt;"Serviço","",OFFSET(ORÇAMENTO!S$15,ROW(G102)-ROW(G$15),0))</f>
        <v>-</v>
      </c>
      <c r="H102" s="151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1"/>
      <c r="K102" s="208"/>
      <c r="L102" s="209" t="s">
        <v>254</v>
      </c>
      <c r="M102" s="210">
        <f ca="1">IF($D102&lt;&gt;"Serviço","",IF(AUTOEVENTO="manual",$A102,IF(ISERROR(MATCH($A102,$A$15:OFFSET($A102,-1,0),0)),MAX($M$15:OFFSET(M102,-1,0))+1,INDEX($M$15:OFFSET(M102,-1,0),MATCH($A102,$A$15:OFFSET($A102,-1,0),0)))))</f>
        <v>5</v>
      </c>
      <c r="N102" s="211" t="str">
        <f ca="1">IF($D102&lt;&gt;"Serviço","",IF(AUTOEVENTO="Manual",IF($A102=0,"&lt;-- defina o número do agrupador",OFFSET(EVENTOS!$D$14,$A102,0)),OFFSET($F$15,$A102,0)))</f>
        <v>PINTURAS E TEXTURAS</v>
      </c>
      <c r="O102" s="212"/>
      <c r="Q102" s="212"/>
      <c r="R102" s="213"/>
      <c r="S102" s="213"/>
      <c r="T102" s="213"/>
      <c r="U102" s="213"/>
      <c r="V102" s="213"/>
      <c r="W102" s="213"/>
      <c r="X102" s="213"/>
      <c r="Y102" s="213"/>
      <c r="Z102" s="214"/>
      <c r="AB102" s="592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3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3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3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3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3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3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3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3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4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5">
        <f ca="1">IF($D102&lt;&gt;"Serviço",0,IF(AND(AUTOEVENTO="Manual",$M102=1),0,IF(OFFSET(CRONOPLE!$F$14,$M102,AM$13)="",10^12,OFFSET(CRONOPLE!$F$14,$M102,AM$13))))</f>
        <v>2</v>
      </c>
      <c r="AN102" s="215">
        <f ca="1">IF($D102&lt;&gt;"Serviço",0,IF(AND(AUTOEVENTO="Manual",$M102=1),0,IF(OFFSET(CRONOPLE!$F$14,$M102,AN$13)="",10^12,OFFSET(CRONOPLE!$F$14,$M102,AN$13))))</f>
        <v>2</v>
      </c>
      <c r="AO102" s="215">
        <f ca="1">IF($D102&lt;&gt;"Serviço",0,IF(AND(AUTOEVENTO="Manual",$M102=1),0,IF(OFFSET(CRONOPLE!$F$14,$M102,AO$13)="",10^12,OFFSET(CRONOPLE!$F$14,$M102,AO$13))))</f>
        <v>3</v>
      </c>
      <c r="AP102" s="215">
        <f ca="1">IF($D102&lt;&gt;"Serviço",0,IF(AND(AUTOEVENTO="Manual",$M102=1),0,IF(OFFSET(CRONOPLE!$F$14,$M102,AP$13)="",10^12,OFFSET(CRONOPLE!$F$14,$M102,AP$13))))</f>
        <v>1000000000000</v>
      </c>
      <c r="AQ102" s="215">
        <f ca="1">IF($D102&lt;&gt;"Serviço",0,IF(AND(AUTOEVENTO="Manual",$M102=1),0,IF(OFFSET(CRONOPLE!$F$14,$M102,AQ$13)="",10^12,OFFSET(CRONOPLE!$F$14,$M102,AQ$13))))</f>
        <v>1000000000000</v>
      </c>
      <c r="AR102" s="215">
        <f ca="1">IF($D102&lt;&gt;"Serviço",0,IF(AND(AUTOEVENTO="Manual",$M102=1),0,IF(OFFSET(CRONOPLE!$F$14,$M102,AR$13)="",10^12,OFFSET(CRONOPLE!$F$14,$M102,AR$13))))</f>
        <v>1000000000000</v>
      </c>
      <c r="AS102" s="215">
        <f ca="1">IF($D102&lt;&gt;"Serviço",0,IF(AND(AUTOEVENTO="Manual",$M102=1),0,IF(OFFSET(CRONOPLE!$F$14,$M102,AS$13)="",10^12,OFFSET(CRONOPLE!$F$14,$M102,AS$13))))</f>
        <v>1000000000000</v>
      </c>
      <c r="AT102" s="215">
        <f ca="1">IF($D102&lt;&gt;"Serviço",0,IF(AND(AUTOEVENTO="Manual",$M102=1),0,IF(OFFSET(CRONOPLE!$F$14,$M102,AT$13)="",10^12,OFFSET(CRONOPLE!$F$14,$M102,AT$13))))</f>
        <v>1000000000000</v>
      </c>
      <c r="AU102" s="215">
        <f ca="1">IF($D102&lt;&gt;"Serviço",0,IF(AND(AUTOEVENTO="Manual",$M102=1),0,IF(OFFSET(CRONOPLE!$F$14,$M102,AU$13)="",10^12,OFFSET(CRONOPLE!$F$14,$M102,AU$13))))</f>
        <v>1000000000000</v>
      </c>
      <c r="AV102" s="215">
        <f ca="1">IF($D102&lt;&gt;"Serviço",0,IF(AND(AUTOEVENTO="Manual",$M102=1),0,IF(OFFSET(CRONOPLE!$F$14,$M102,AV$13)="",10^12,OFFSET(CRONOPLE!$F$14,$M102,AV$13))))</f>
        <v>1000000000000</v>
      </c>
      <c r="AX102" s="216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6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6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6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6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6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6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6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6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6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37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5" t="str">
        <f ca="1">OFFSET(ORÇAMENTO!N$15,ROW(D103)-ROW(D$15),0)</f>
        <v>Serviço</v>
      </c>
      <c r="E103" s="205" t="str">
        <f ca="1">OFFSET(ORÇAMENTO!O$15,ROW(E103)-ROW(E$15),0)</f>
        <v>-</v>
      </c>
      <c r="F103" s="206" t="str">
        <f ca="1">OFFSET(ORÇAMENTO!R$15,ROW(F103)-ROW(F$15),0)</f>
        <v>(abra o arquivo 'Referência 05-2023.xls)</v>
      </c>
      <c r="G103" s="207" t="str">
        <f ca="1">IF($D103&lt;&gt;"Serviço","",OFFSET(ORÇAMENTO!S$15,ROW(G103)-ROW(G$15),0))</f>
        <v>-</v>
      </c>
      <c r="H103" s="151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1"/>
      <c r="K103" s="208"/>
      <c r="L103" s="209" t="s">
        <v>254</v>
      </c>
      <c r="M103" s="210">
        <f ca="1">IF($D103&lt;&gt;"Serviço","",IF(AUTOEVENTO="manual",$A103,IF(ISERROR(MATCH($A103,$A$15:OFFSET($A103,-1,0),0)),MAX($M$15:OFFSET(M103,-1,0))+1,INDEX($M$15:OFFSET(M103,-1,0),MATCH($A103,$A$15:OFFSET($A103,-1,0),0)))))</f>
        <v>5</v>
      </c>
      <c r="N103" s="211" t="str">
        <f ca="1">IF($D103&lt;&gt;"Serviço","",IF(AUTOEVENTO="Manual",IF($A103=0,"&lt;-- defina o número do agrupador",OFFSET(EVENTOS!$D$14,$A103,0)),OFFSET($F$15,$A103,0)))</f>
        <v>PINTURAS E TEXTURAS</v>
      </c>
      <c r="O103" s="212"/>
      <c r="Q103" s="212"/>
      <c r="R103" s="213"/>
      <c r="S103" s="213"/>
      <c r="T103" s="213"/>
      <c r="U103" s="213"/>
      <c r="V103" s="213"/>
      <c r="W103" s="213"/>
      <c r="X103" s="213"/>
      <c r="Y103" s="213"/>
      <c r="Z103" s="214"/>
      <c r="AB103" s="592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3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3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3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3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3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3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3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3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4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5">
        <f ca="1">IF($D103&lt;&gt;"Serviço",0,IF(AND(AUTOEVENTO="Manual",$M103=1),0,IF(OFFSET(CRONOPLE!$F$14,$M103,AM$13)="",10^12,OFFSET(CRONOPLE!$F$14,$M103,AM$13))))</f>
        <v>2</v>
      </c>
      <c r="AN103" s="215">
        <f ca="1">IF($D103&lt;&gt;"Serviço",0,IF(AND(AUTOEVENTO="Manual",$M103=1),0,IF(OFFSET(CRONOPLE!$F$14,$M103,AN$13)="",10^12,OFFSET(CRONOPLE!$F$14,$M103,AN$13))))</f>
        <v>2</v>
      </c>
      <c r="AO103" s="215">
        <f ca="1">IF($D103&lt;&gt;"Serviço",0,IF(AND(AUTOEVENTO="Manual",$M103=1),0,IF(OFFSET(CRONOPLE!$F$14,$M103,AO$13)="",10^12,OFFSET(CRONOPLE!$F$14,$M103,AO$13))))</f>
        <v>3</v>
      </c>
      <c r="AP103" s="215">
        <f ca="1">IF($D103&lt;&gt;"Serviço",0,IF(AND(AUTOEVENTO="Manual",$M103=1),0,IF(OFFSET(CRONOPLE!$F$14,$M103,AP$13)="",10^12,OFFSET(CRONOPLE!$F$14,$M103,AP$13))))</f>
        <v>1000000000000</v>
      </c>
      <c r="AQ103" s="215">
        <f ca="1">IF($D103&lt;&gt;"Serviço",0,IF(AND(AUTOEVENTO="Manual",$M103=1),0,IF(OFFSET(CRONOPLE!$F$14,$M103,AQ$13)="",10^12,OFFSET(CRONOPLE!$F$14,$M103,AQ$13))))</f>
        <v>1000000000000</v>
      </c>
      <c r="AR103" s="215">
        <f ca="1">IF($D103&lt;&gt;"Serviço",0,IF(AND(AUTOEVENTO="Manual",$M103=1),0,IF(OFFSET(CRONOPLE!$F$14,$M103,AR$13)="",10^12,OFFSET(CRONOPLE!$F$14,$M103,AR$13))))</f>
        <v>1000000000000</v>
      </c>
      <c r="AS103" s="215">
        <f ca="1">IF($D103&lt;&gt;"Serviço",0,IF(AND(AUTOEVENTO="Manual",$M103=1),0,IF(OFFSET(CRONOPLE!$F$14,$M103,AS$13)="",10^12,OFFSET(CRONOPLE!$F$14,$M103,AS$13))))</f>
        <v>1000000000000</v>
      </c>
      <c r="AT103" s="215">
        <f ca="1">IF($D103&lt;&gt;"Serviço",0,IF(AND(AUTOEVENTO="Manual",$M103=1),0,IF(OFFSET(CRONOPLE!$F$14,$M103,AT$13)="",10^12,OFFSET(CRONOPLE!$F$14,$M103,AT$13))))</f>
        <v>1000000000000</v>
      </c>
      <c r="AU103" s="215">
        <f ca="1">IF($D103&lt;&gt;"Serviço",0,IF(AND(AUTOEVENTO="Manual",$M103=1),0,IF(OFFSET(CRONOPLE!$F$14,$M103,AU$13)="",10^12,OFFSET(CRONOPLE!$F$14,$M103,AU$13))))</f>
        <v>1000000000000</v>
      </c>
      <c r="AV103" s="215">
        <f ca="1">IF($D103&lt;&gt;"Serviço",0,IF(AND(AUTOEVENTO="Manual",$M103=1),0,IF(OFFSET(CRONOPLE!$F$14,$M103,AV$13)="",10^12,OFFSET(CRONOPLE!$F$14,$M103,AV$13))))</f>
        <v>1000000000000</v>
      </c>
      <c r="AX103" s="216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6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6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6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6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6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6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6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6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6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37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5" t="str">
        <f ca="1">OFFSET(ORÇAMENTO!N$15,ROW(D104)-ROW(D$15),0)</f>
        <v>Serviço</v>
      </c>
      <c r="E104" s="205" t="str">
        <f ca="1">OFFSET(ORÇAMENTO!O$15,ROW(E104)-ROW(E$15),0)</f>
        <v>-</v>
      </c>
      <c r="F104" s="206" t="str">
        <f ca="1">OFFSET(ORÇAMENTO!R$15,ROW(F104)-ROW(F$15),0)</f>
        <v>(abra o arquivo 'Referência 05-2023.xls)</v>
      </c>
      <c r="G104" s="207" t="str">
        <f ca="1">IF($D104&lt;&gt;"Serviço","",OFFSET(ORÇAMENTO!S$15,ROW(G104)-ROW(G$15),0))</f>
        <v>-</v>
      </c>
      <c r="H104" s="151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1"/>
      <c r="K104" s="208"/>
      <c r="L104" s="209" t="s">
        <v>254</v>
      </c>
      <c r="M104" s="210">
        <f ca="1">IF($D104&lt;&gt;"Serviço","",IF(AUTOEVENTO="manual",$A104,IF(ISERROR(MATCH($A104,$A$15:OFFSET($A104,-1,0),0)),MAX($M$15:OFFSET(M104,-1,0))+1,INDEX($M$15:OFFSET(M104,-1,0),MATCH($A104,$A$15:OFFSET($A104,-1,0),0)))))</f>
        <v>5</v>
      </c>
      <c r="N104" s="211" t="str">
        <f ca="1">IF($D104&lt;&gt;"Serviço","",IF(AUTOEVENTO="Manual",IF($A104=0,"&lt;-- defina o número do agrupador",OFFSET(EVENTOS!$D$14,$A104,0)),OFFSET($F$15,$A104,0)))</f>
        <v>PINTURAS E TEXTURAS</v>
      </c>
      <c r="O104" s="212"/>
      <c r="Q104" s="212"/>
      <c r="R104" s="213"/>
      <c r="S104" s="213"/>
      <c r="T104" s="213"/>
      <c r="U104" s="213"/>
      <c r="V104" s="213"/>
      <c r="W104" s="213"/>
      <c r="X104" s="213"/>
      <c r="Y104" s="213"/>
      <c r="Z104" s="214"/>
      <c r="AB104" s="592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3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3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3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3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3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3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3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3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4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5">
        <f ca="1">IF($D104&lt;&gt;"Serviço",0,IF(AND(AUTOEVENTO="Manual",$M104=1),0,IF(OFFSET(CRONOPLE!$F$14,$M104,AM$13)="",10^12,OFFSET(CRONOPLE!$F$14,$M104,AM$13))))</f>
        <v>2</v>
      </c>
      <c r="AN104" s="215">
        <f ca="1">IF($D104&lt;&gt;"Serviço",0,IF(AND(AUTOEVENTO="Manual",$M104=1),0,IF(OFFSET(CRONOPLE!$F$14,$M104,AN$13)="",10^12,OFFSET(CRONOPLE!$F$14,$M104,AN$13))))</f>
        <v>2</v>
      </c>
      <c r="AO104" s="215">
        <f ca="1">IF($D104&lt;&gt;"Serviço",0,IF(AND(AUTOEVENTO="Manual",$M104=1),0,IF(OFFSET(CRONOPLE!$F$14,$M104,AO$13)="",10^12,OFFSET(CRONOPLE!$F$14,$M104,AO$13))))</f>
        <v>3</v>
      </c>
      <c r="AP104" s="215">
        <f ca="1">IF($D104&lt;&gt;"Serviço",0,IF(AND(AUTOEVENTO="Manual",$M104=1),0,IF(OFFSET(CRONOPLE!$F$14,$M104,AP$13)="",10^12,OFFSET(CRONOPLE!$F$14,$M104,AP$13))))</f>
        <v>1000000000000</v>
      </c>
      <c r="AQ104" s="215">
        <f ca="1">IF($D104&lt;&gt;"Serviço",0,IF(AND(AUTOEVENTO="Manual",$M104=1),0,IF(OFFSET(CRONOPLE!$F$14,$M104,AQ$13)="",10^12,OFFSET(CRONOPLE!$F$14,$M104,AQ$13))))</f>
        <v>1000000000000</v>
      </c>
      <c r="AR104" s="215">
        <f ca="1">IF($D104&lt;&gt;"Serviço",0,IF(AND(AUTOEVENTO="Manual",$M104=1),0,IF(OFFSET(CRONOPLE!$F$14,$M104,AR$13)="",10^12,OFFSET(CRONOPLE!$F$14,$M104,AR$13))))</f>
        <v>1000000000000</v>
      </c>
      <c r="AS104" s="215">
        <f ca="1">IF($D104&lt;&gt;"Serviço",0,IF(AND(AUTOEVENTO="Manual",$M104=1),0,IF(OFFSET(CRONOPLE!$F$14,$M104,AS$13)="",10^12,OFFSET(CRONOPLE!$F$14,$M104,AS$13))))</f>
        <v>1000000000000</v>
      </c>
      <c r="AT104" s="215">
        <f ca="1">IF($D104&lt;&gt;"Serviço",0,IF(AND(AUTOEVENTO="Manual",$M104=1),0,IF(OFFSET(CRONOPLE!$F$14,$M104,AT$13)="",10^12,OFFSET(CRONOPLE!$F$14,$M104,AT$13))))</f>
        <v>1000000000000</v>
      </c>
      <c r="AU104" s="215">
        <f ca="1">IF($D104&lt;&gt;"Serviço",0,IF(AND(AUTOEVENTO="Manual",$M104=1),0,IF(OFFSET(CRONOPLE!$F$14,$M104,AU$13)="",10^12,OFFSET(CRONOPLE!$F$14,$M104,AU$13))))</f>
        <v>1000000000000</v>
      </c>
      <c r="AV104" s="215">
        <f ca="1">IF($D104&lt;&gt;"Serviço",0,IF(AND(AUTOEVENTO="Manual",$M104=1),0,IF(OFFSET(CRONOPLE!$F$14,$M104,AV$13)="",10^12,OFFSET(CRONOPLE!$F$14,$M104,AV$13))))</f>
        <v>1000000000000</v>
      </c>
      <c r="AX104" s="216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6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6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6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6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6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6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6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6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6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37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5" t="str">
        <f ca="1">OFFSET(ORÇAMENTO!N$15,ROW(D105)-ROW(D$15),0)</f>
        <v>Serviço</v>
      </c>
      <c r="E105" s="205" t="str">
        <f ca="1">OFFSET(ORÇAMENTO!O$15,ROW(E105)-ROW(E$15),0)</f>
        <v>-</v>
      </c>
      <c r="F105" s="206" t="str">
        <f ca="1">OFFSET(ORÇAMENTO!R$15,ROW(F105)-ROW(F$15),0)</f>
        <v>(abra o arquivo 'Referência 05-2023.xls)</v>
      </c>
      <c r="G105" s="207" t="str">
        <f ca="1">IF($D105&lt;&gt;"Serviço","",OFFSET(ORÇAMENTO!S$15,ROW(G105)-ROW(G$15),0))</f>
        <v>-</v>
      </c>
      <c r="H105" s="151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1"/>
      <c r="K105" s="208"/>
      <c r="L105" s="209" t="s">
        <v>254</v>
      </c>
      <c r="M105" s="210">
        <f ca="1">IF($D105&lt;&gt;"Serviço","",IF(AUTOEVENTO="manual",$A105,IF(ISERROR(MATCH($A105,$A$15:OFFSET($A105,-1,0),0)),MAX($M$15:OFFSET(M105,-1,0))+1,INDEX($M$15:OFFSET(M105,-1,0),MATCH($A105,$A$15:OFFSET($A105,-1,0),0)))))</f>
        <v>5</v>
      </c>
      <c r="N105" s="211" t="str">
        <f ca="1">IF($D105&lt;&gt;"Serviço","",IF(AUTOEVENTO="Manual",IF($A105=0,"&lt;-- defina o número do agrupador",OFFSET(EVENTOS!$D$14,$A105,0)),OFFSET($F$15,$A105,0)))</f>
        <v>PINTURAS E TEXTURAS</v>
      </c>
      <c r="O105" s="212"/>
      <c r="Q105" s="212"/>
      <c r="R105" s="213"/>
      <c r="S105" s="213"/>
      <c r="T105" s="213"/>
      <c r="U105" s="213"/>
      <c r="V105" s="213"/>
      <c r="W105" s="213"/>
      <c r="X105" s="213"/>
      <c r="Y105" s="213"/>
      <c r="Z105" s="214"/>
      <c r="AB105" s="592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3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3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3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3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3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3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3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3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4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5">
        <f ca="1">IF($D105&lt;&gt;"Serviço",0,IF(AND(AUTOEVENTO="Manual",$M105=1),0,IF(OFFSET(CRONOPLE!$F$14,$M105,AM$13)="",10^12,OFFSET(CRONOPLE!$F$14,$M105,AM$13))))</f>
        <v>2</v>
      </c>
      <c r="AN105" s="215">
        <f ca="1">IF($D105&lt;&gt;"Serviço",0,IF(AND(AUTOEVENTO="Manual",$M105=1),0,IF(OFFSET(CRONOPLE!$F$14,$M105,AN$13)="",10^12,OFFSET(CRONOPLE!$F$14,$M105,AN$13))))</f>
        <v>2</v>
      </c>
      <c r="AO105" s="215">
        <f ca="1">IF($D105&lt;&gt;"Serviço",0,IF(AND(AUTOEVENTO="Manual",$M105=1),0,IF(OFFSET(CRONOPLE!$F$14,$M105,AO$13)="",10^12,OFFSET(CRONOPLE!$F$14,$M105,AO$13))))</f>
        <v>3</v>
      </c>
      <c r="AP105" s="215">
        <f ca="1">IF($D105&lt;&gt;"Serviço",0,IF(AND(AUTOEVENTO="Manual",$M105=1),0,IF(OFFSET(CRONOPLE!$F$14,$M105,AP$13)="",10^12,OFFSET(CRONOPLE!$F$14,$M105,AP$13))))</f>
        <v>1000000000000</v>
      </c>
      <c r="AQ105" s="215">
        <f ca="1">IF($D105&lt;&gt;"Serviço",0,IF(AND(AUTOEVENTO="Manual",$M105=1),0,IF(OFFSET(CRONOPLE!$F$14,$M105,AQ$13)="",10^12,OFFSET(CRONOPLE!$F$14,$M105,AQ$13))))</f>
        <v>1000000000000</v>
      </c>
      <c r="AR105" s="215">
        <f ca="1">IF($D105&lt;&gt;"Serviço",0,IF(AND(AUTOEVENTO="Manual",$M105=1),0,IF(OFFSET(CRONOPLE!$F$14,$M105,AR$13)="",10^12,OFFSET(CRONOPLE!$F$14,$M105,AR$13))))</f>
        <v>1000000000000</v>
      </c>
      <c r="AS105" s="215">
        <f ca="1">IF($D105&lt;&gt;"Serviço",0,IF(AND(AUTOEVENTO="Manual",$M105=1),0,IF(OFFSET(CRONOPLE!$F$14,$M105,AS$13)="",10^12,OFFSET(CRONOPLE!$F$14,$M105,AS$13))))</f>
        <v>1000000000000</v>
      </c>
      <c r="AT105" s="215">
        <f ca="1">IF($D105&lt;&gt;"Serviço",0,IF(AND(AUTOEVENTO="Manual",$M105=1),0,IF(OFFSET(CRONOPLE!$F$14,$M105,AT$13)="",10^12,OFFSET(CRONOPLE!$F$14,$M105,AT$13))))</f>
        <v>1000000000000</v>
      </c>
      <c r="AU105" s="215">
        <f ca="1">IF($D105&lt;&gt;"Serviço",0,IF(AND(AUTOEVENTO="Manual",$M105=1),0,IF(OFFSET(CRONOPLE!$F$14,$M105,AU$13)="",10^12,OFFSET(CRONOPLE!$F$14,$M105,AU$13))))</f>
        <v>1000000000000</v>
      </c>
      <c r="AV105" s="215">
        <f ca="1">IF($D105&lt;&gt;"Serviço",0,IF(AND(AUTOEVENTO="Manual",$M105=1),0,IF(OFFSET(CRONOPLE!$F$14,$M105,AV$13)="",10^12,OFFSET(CRONOPLE!$F$14,$M105,AV$13))))</f>
        <v>1000000000000</v>
      </c>
      <c r="AX105" s="216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6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6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6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6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6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6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6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6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6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37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5" t="str">
        <f ca="1">OFFSET(ORÇAMENTO!N$15,ROW(D106)-ROW(D$15),0)</f>
        <v>Serviço</v>
      </c>
      <c r="E106" s="205" t="str">
        <f ca="1">OFFSET(ORÇAMENTO!O$15,ROW(E106)-ROW(E$15),0)</f>
        <v>-</v>
      </c>
      <c r="F106" s="206" t="str">
        <f ca="1">OFFSET(ORÇAMENTO!R$15,ROW(F106)-ROW(F$15),0)</f>
        <v>(abra o arquivo 'Referência 05-2023.xls)</v>
      </c>
      <c r="G106" s="207" t="str">
        <f ca="1">IF($D106&lt;&gt;"Serviço","",OFFSET(ORÇAMENTO!S$15,ROW(G106)-ROW(G$15),0))</f>
        <v>-</v>
      </c>
      <c r="H106" s="151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1"/>
      <c r="K106" s="208"/>
      <c r="L106" s="209" t="s">
        <v>254</v>
      </c>
      <c r="M106" s="210">
        <f ca="1">IF($D106&lt;&gt;"Serviço","",IF(AUTOEVENTO="manual",$A106,IF(ISERROR(MATCH($A106,$A$15:OFFSET($A106,-1,0),0)),MAX($M$15:OFFSET(M106,-1,0))+1,INDEX($M$15:OFFSET(M106,-1,0),MATCH($A106,$A$15:OFFSET($A106,-1,0),0)))))</f>
        <v>5</v>
      </c>
      <c r="N106" s="211" t="str">
        <f ca="1">IF($D106&lt;&gt;"Serviço","",IF(AUTOEVENTO="Manual",IF($A106=0,"&lt;-- defina o número do agrupador",OFFSET(EVENTOS!$D$14,$A106,0)),OFFSET($F$15,$A106,0)))</f>
        <v>PINTURAS E TEXTURAS</v>
      </c>
      <c r="O106" s="212"/>
      <c r="Q106" s="212"/>
      <c r="R106" s="213"/>
      <c r="S106" s="213"/>
      <c r="T106" s="213"/>
      <c r="U106" s="213"/>
      <c r="V106" s="213"/>
      <c r="W106" s="213"/>
      <c r="X106" s="213"/>
      <c r="Y106" s="213"/>
      <c r="Z106" s="214"/>
      <c r="AB106" s="592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3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3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3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3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3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3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3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3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4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5">
        <f ca="1">IF($D106&lt;&gt;"Serviço",0,IF(AND(AUTOEVENTO="Manual",$M106=1),0,IF(OFFSET(CRONOPLE!$F$14,$M106,AM$13)="",10^12,OFFSET(CRONOPLE!$F$14,$M106,AM$13))))</f>
        <v>2</v>
      </c>
      <c r="AN106" s="215">
        <f ca="1">IF($D106&lt;&gt;"Serviço",0,IF(AND(AUTOEVENTO="Manual",$M106=1),0,IF(OFFSET(CRONOPLE!$F$14,$M106,AN$13)="",10^12,OFFSET(CRONOPLE!$F$14,$M106,AN$13))))</f>
        <v>2</v>
      </c>
      <c r="AO106" s="215">
        <f ca="1">IF($D106&lt;&gt;"Serviço",0,IF(AND(AUTOEVENTO="Manual",$M106=1),0,IF(OFFSET(CRONOPLE!$F$14,$M106,AO$13)="",10^12,OFFSET(CRONOPLE!$F$14,$M106,AO$13))))</f>
        <v>3</v>
      </c>
      <c r="AP106" s="215">
        <f ca="1">IF($D106&lt;&gt;"Serviço",0,IF(AND(AUTOEVENTO="Manual",$M106=1),0,IF(OFFSET(CRONOPLE!$F$14,$M106,AP$13)="",10^12,OFFSET(CRONOPLE!$F$14,$M106,AP$13))))</f>
        <v>1000000000000</v>
      </c>
      <c r="AQ106" s="215">
        <f ca="1">IF($D106&lt;&gt;"Serviço",0,IF(AND(AUTOEVENTO="Manual",$M106=1),0,IF(OFFSET(CRONOPLE!$F$14,$M106,AQ$13)="",10^12,OFFSET(CRONOPLE!$F$14,$M106,AQ$13))))</f>
        <v>1000000000000</v>
      </c>
      <c r="AR106" s="215">
        <f ca="1">IF($D106&lt;&gt;"Serviço",0,IF(AND(AUTOEVENTO="Manual",$M106=1),0,IF(OFFSET(CRONOPLE!$F$14,$M106,AR$13)="",10^12,OFFSET(CRONOPLE!$F$14,$M106,AR$13))))</f>
        <v>1000000000000</v>
      </c>
      <c r="AS106" s="215">
        <f ca="1">IF($D106&lt;&gt;"Serviço",0,IF(AND(AUTOEVENTO="Manual",$M106=1),0,IF(OFFSET(CRONOPLE!$F$14,$M106,AS$13)="",10^12,OFFSET(CRONOPLE!$F$14,$M106,AS$13))))</f>
        <v>1000000000000</v>
      </c>
      <c r="AT106" s="215">
        <f ca="1">IF($D106&lt;&gt;"Serviço",0,IF(AND(AUTOEVENTO="Manual",$M106=1),0,IF(OFFSET(CRONOPLE!$F$14,$M106,AT$13)="",10^12,OFFSET(CRONOPLE!$F$14,$M106,AT$13))))</f>
        <v>1000000000000</v>
      </c>
      <c r="AU106" s="215">
        <f ca="1">IF($D106&lt;&gt;"Serviço",0,IF(AND(AUTOEVENTO="Manual",$M106=1),0,IF(OFFSET(CRONOPLE!$F$14,$M106,AU$13)="",10^12,OFFSET(CRONOPLE!$F$14,$M106,AU$13))))</f>
        <v>1000000000000</v>
      </c>
      <c r="AV106" s="215">
        <f ca="1">IF($D106&lt;&gt;"Serviço",0,IF(AND(AUTOEVENTO="Manual",$M106=1),0,IF(OFFSET(CRONOPLE!$F$14,$M106,AV$13)="",10^12,OFFSET(CRONOPLE!$F$14,$M106,AV$13))))</f>
        <v>1000000000000</v>
      </c>
      <c r="AX106" s="216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6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6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6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6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6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6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6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6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6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37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5" t="str">
        <f ca="1">OFFSET(ORÇAMENTO!N$15,ROW(D107)-ROW(D$15),0)</f>
        <v>Serviço</v>
      </c>
      <c r="E107" s="205" t="str">
        <f ca="1">OFFSET(ORÇAMENTO!O$15,ROW(E107)-ROW(E$15),0)</f>
        <v>-</v>
      </c>
      <c r="F107" s="206" t="str">
        <f ca="1">OFFSET(ORÇAMENTO!R$15,ROW(F107)-ROW(F$15),0)</f>
        <v>(abra o arquivo 'Referência 05-2023.xls)</v>
      </c>
      <c r="G107" s="207" t="str">
        <f ca="1">IF($D107&lt;&gt;"Serviço","",OFFSET(ORÇAMENTO!S$15,ROW(G107)-ROW(G$15),0))</f>
        <v>-</v>
      </c>
      <c r="H107" s="151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1"/>
      <c r="K107" s="208"/>
      <c r="L107" s="209" t="s">
        <v>254</v>
      </c>
      <c r="M107" s="210">
        <f ca="1">IF($D107&lt;&gt;"Serviço","",IF(AUTOEVENTO="manual",$A107,IF(ISERROR(MATCH($A107,$A$15:OFFSET($A107,-1,0),0)),MAX($M$15:OFFSET(M107,-1,0))+1,INDEX($M$15:OFFSET(M107,-1,0),MATCH($A107,$A$15:OFFSET($A107,-1,0),0)))))</f>
        <v>5</v>
      </c>
      <c r="N107" s="211" t="str">
        <f ca="1">IF($D107&lt;&gt;"Serviço","",IF(AUTOEVENTO="Manual",IF($A107=0,"&lt;-- defina o número do agrupador",OFFSET(EVENTOS!$D$14,$A107,0)),OFFSET($F$15,$A107,0)))</f>
        <v>PINTURAS E TEXTURAS</v>
      </c>
      <c r="O107" s="212"/>
      <c r="Q107" s="212"/>
      <c r="R107" s="213"/>
      <c r="S107" s="213"/>
      <c r="T107" s="213"/>
      <c r="U107" s="213"/>
      <c r="V107" s="213"/>
      <c r="W107" s="213"/>
      <c r="X107" s="213"/>
      <c r="Y107" s="213"/>
      <c r="Z107" s="214"/>
      <c r="AB107" s="592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3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3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3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3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3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3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3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3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4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5">
        <f ca="1">IF($D107&lt;&gt;"Serviço",0,IF(AND(AUTOEVENTO="Manual",$M107=1),0,IF(OFFSET(CRONOPLE!$F$14,$M107,AM$13)="",10^12,OFFSET(CRONOPLE!$F$14,$M107,AM$13))))</f>
        <v>2</v>
      </c>
      <c r="AN107" s="215">
        <f ca="1">IF($D107&lt;&gt;"Serviço",0,IF(AND(AUTOEVENTO="Manual",$M107=1),0,IF(OFFSET(CRONOPLE!$F$14,$M107,AN$13)="",10^12,OFFSET(CRONOPLE!$F$14,$M107,AN$13))))</f>
        <v>2</v>
      </c>
      <c r="AO107" s="215">
        <f ca="1">IF($D107&lt;&gt;"Serviço",0,IF(AND(AUTOEVENTO="Manual",$M107=1),0,IF(OFFSET(CRONOPLE!$F$14,$M107,AO$13)="",10^12,OFFSET(CRONOPLE!$F$14,$M107,AO$13))))</f>
        <v>3</v>
      </c>
      <c r="AP107" s="215">
        <f ca="1">IF($D107&lt;&gt;"Serviço",0,IF(AND(AUTOEVENTO="Manual",$M107=1),0,IF(OFFSET(CRONOPLE!$F$14,$M107,AP$13)="",10^12,OFFSET(CRONOPLE!$F$14,$M107,AP$13))))</f>
        <v>1000000000000</v>
      </c>
      <c r="AQ107" s="215">
        <f ca="1">IF($D107&lt;&gt;"Serviço",0,IF(AND(AUTOEVENTO="Manual",$M107=1),0,IF(OFFSET(CRONOPLE!$F$14,$M107,AQ$13)="",10^12,OFFSET(CRONOPLE!$F$14,$M107,AQ$13))))</f>
        <v>1000000000000</v>
      </c>
      <c r="AR107" s="215">
        <f ca="1">IF($D107&lt;&gt;"Serviço",0,IF(AND(AUTOEVENTO="Manual",$M107=1),0,IF(OFFSET(CRONOPLE!$F$14,$M107,AR$13)="",10^12,OFFSET(CRONOPLE!$F$14,$M107,AR$13))))</f>
        <v>1000000000000</v>
      </c>
      <c r="AS107" s="215">
        <f ca="1">IF($D107&lt;&gt;"Serviço",0,IF(AND(AUTOEVENTO="Manual",$M107=1),0,IF(OFFSET(CRONOPLE!$F$14,$M107,AS$13)="",10^12,OFFSET(CRONOPLE!$F$14,$M107,AS$13))))</f>
        <v>1000000000000</v>
      </c>
      <c r="AT107" s="215">
        <f ca="1">IF($D107&lt;&gt;"Serviço",0,IF(AND(AUTOEVENTO="Manual",$M107=1),0,IF(OFFSET(CRONOPLE!$F$14,$M107,AT$13)="",10^12,OFFSET(CRONOPLE!$F$14,$M107,AT$13))))</f>
        <v>1000000000000</v>
      </c>
      <c r="AU107" s="215">
        <f ca="1">IF($D107&lt;&gt;"Serviço",0,IF(AND(AUTOEVENTO="Manual",$M107=1),0,IF(OFFSET(CRONOPLE!$F$14,$M107,AU$13)="",10^12,OFFSET(CRONOPLE!$F$14,$M107,AU$13))))</f>
        <v>1000000000000</v>
      </c>
      <c r="AV107" s="215">
        <f ca="1">IF($D107&lt;&gt;"Serviço",0,IF(AND(AUTOEVENTO="Manual",$M107=1),0,IF(OFFSET(CRONOPLE!$F$14,$M107,AV$13)="",10^12,OFFSET(CRONOPLE!$F$14,$M107,AV$13))))</f>
        <v>1000000000000</v>
      </c>
      <c r="AX107" s="216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6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6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6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6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6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6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6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6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6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37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5" t="str">
        <f ca="1">OFFSET(ORÇAMENTO!N$15,ROW(D108)-ROW(D$15),0)</f>
        <v>Serviço</v>
      </c>
      <c r="E108" s="205" t="str">
        <f ca="1">OFFSET(ORÇAMENTO!O$15,ROW(E108)-ROW(E$15),0)</f>
        <v>-</v>
      </c>
      <c r="F108" s="206" t="str">
        <f ca="1">OFFSET(ORÇAMENTO!R$15,ROW(F108)-ROW(F$15),0)</f>
        <v>(abra o arquivo 'Referência 05-2023.xls)</v>
      </c>
      <c r="G108" s="207" t="str">
        <f ca="1">IF($D108&lt;&gt;"Serviço","",OFFSET(ORÇAMENTO!S$15,ROW(G108)-ROW(G$15),0))</f>
        <v>-</v>
      </c>
      <c r="H108" s="151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1"/>
      <c r="K108" s="208"/>
      <c r="L108" s="209" t="s">
        <v>254</v>
      </c>
      <c r="M108" s="210">
        <f ca="1">IF($D108&lt;&gt;"Serviço","",IF(AUTOEVENTO="manual",$A108,IF(ISERROR(MATCH($A108,$A$15:OFFSET($A108,-1,0),0)),MAX($M$15:OFFSET(M108,-1,0))+1,INDEX($M$15:OFFSET(M108,-1,0),MATCH($A108,$A$15:OFFSET($A108,-1,0),0)))))</f>
        <v>5</v>
      </c>
      <c r="N108" s="211" t="str">
        <f ca="1">IF($D108&lt;&gt;"Serviço","",IF(AUTOEVENTO="Manual",IF($A108=0,"&lt;-- defina o número do agrupador",OFFSET(EVENTOS!$D$14,$A108,0)),OFFSET($F$15,$A108,0)))</f>
        <v>PINTURAS E TEXTURAS</v>
      </c>
      <c r="O108" s="212"/>
      <c r="Q108" s="212"/>
      <c r="R108" s="213"/>
      <c r="S108" s="213"/>
      <c r="T108" s="213"/>
      <c r="U108" s="213"/>
      <c r="V108" s="213"/>
      <c r="W108" s="213"/>
      <c r="X108" s="213"/>
      <c r="Y108" s="213"/>
      <c r="Z108" s="214"/>
      <c r="AB108" s="592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3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3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3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3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3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3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3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3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4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5">
        <f ca="1">IF($D108&lt;&gt;"Serviço",0,IF(AND(AUTOEVENTO="Manual",$M108=1),0,IF(OFFSET(CRONOPLE!$F$14,$M108,AM$13)="",10^12,OFFSET(CRONOPLE!$F$14,$M108,AM$13))))</f>
        <v>2</v>
      </c>
      <c r="AN108" s="215">
        <f ca="1">IF($D108&lt;&gt;"Serviço",0,IF(AND(AUTOEVENTO="Manual",$M108=1),0,IF(OFFSET(CRONOPLE!$F$14,$M108,AN$13)="",10^12,OFFSET(CRONOPLE!$F$14,$M108,AN$13))))</f>
        <v>2</v>
      </c>
      <c r="AO108" s="215">
        <f ca="1">IF($D108&lt;&gt;"Serviço",0,IF(AND(AUTOEVENTO="Manual",$M108=1),0,IF(OFFSET(CRONOPLE!$F$14,$M108,AO$13)="",10^12,OFFSET(CRONOPLE!$F$14,$M108,AO$13))))</f>
        <v>3</v>
      </c>
      <c r="AP108" s="215">
        <f ca="1">IF($D108&lt;&gt;"Serviço",0,IF(AND(AUTOEVENTO="Manual",$M108=1),0,IF(OFFSET(CRONOPLE!$F$14,$M108,AP$13)="",10^12,OFFSET(CRONOPLE!$F$14,$M108,AP$13))))</f>
        <v>1000000000000</v>
      </c>
      <c r="AQ108" s="215">
        <f ca="1">IF($D108&lt;&gt;"Serviço",0,IF(AND(AUTOEVENTO="Manual",$M108=1),0,IF(OFFSET(CRONOPLE!$F$14,$M108,AQ$13)="",10^12,OFFSET(CRONOPLE!$F$14,$M108,AQ$13))))</f>
        <v>1000000000000</v>
      </c>
      <c r="AR108" s="215">
        <f ca="1">IF($D108&lt;&gt;"Serviço",0,IF(AND(AUTOEVENTO="Manual",$M108=1),0,IF(OFFSET(CRONOPLE!$F$14,$M108,AR$13)="",10^12,OFFSET(CRONOPLE!$F$14,$M108,AR$13))))</f>
        <v>1000000000000</v>
      </c>
      <c r="AS108" s="215">
        <f ca="1">IF($D108&lt;&gt;"Serviço",0,IF(AND(AUTOEVENTO="Manual",$M108=1),0,IF(OFFSET(CRONOPLE!$F$14,$M108,AS$13)="",10^12,OFFSET(CRONOPLE!$F$14,$M108,AS$13))))</f>
        <v>1000000000000</v>
      </c>
      <c r="AT108" s="215">
        <f ca="1">IF($D108&lt;&gt;"Serviço",0,IF(AND(AUTOEVENTO="Manual",$M108=1),0,IF(OFFSET(CRONOPLE!$F$14,$M108,AT$13)="",10^12,OFFSET(CRONOPLE!$F$14,$M108,AT$13))))</f>
        <v>1000000000000</v>
      </c>
      <c r="AU108" s="215">
        <f ca="1">IF($D108&lt;&gt;"Serviço",0,IF(AND(AUTOEVENTO="Manual",$M108=1),0,IF(OFFSET(CRONOPLE!$F$14,$M108,AU$13)="",10^12,OFFSET(CRONOPLE!$F$14,$M108,AU$13))))</f>
        <v>1000000000000</v>
      </c>
      <c r="AV108" s="215">
        <f ca="1">IF($D108&lt;&gt;"Serviço",0,IF(AND(AUTOEVENTO="Manual",$M108=1),0,IF(OFFSET(CRONOPLE!$F$14,$M108,AV$13)="",10^12,OFFSET(CRONOPLE!$F$14,$M108,AV$13))))</f>
        <v>1000000000000</v>
      </c>
      <c r="AX108" s="216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6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6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6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6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6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6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6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6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6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37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5" t="str">
        <f ca="1">OFFSET(ORÇAMENTO!N$15,ROW(D109)-ROW(D$15),0)</f>
        <v>Serviço</v>
      </c>
      <c r="E109" s="205" t="str">
        <f ca="1">OFFSET(ORÇAMENTO!O$15,ROW(E109)-ROW(E$15),0)</f>
        <v>-</v>
      </c>
      <c r="F109" s="206" t="str">
        <f ca="1">OFFSET(ORÇAMENTO!R$15,ROW(F109)-ROW(F$15),0)</f>
        <v>(abra o arquivo 'Referência 05-2023.xls)</v>
      </c>
      <c r="G109" s="207" t="str">
        <f ca="1">IF($D109&lt;&gt;"Serviço","",OFFSET(ORÇAMENTO!S$15,ROW(G109)-ROW(G$15),0))</f>
        <v>-</v>
      </c>
      <c r="H109" s="151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1"/>
      <c r="K109" s="208"/>
      <c r="L109" s="209" t="s">
        <v>254</v>
      </c>
      <c r="M109" s="210">
        <f ca="1">IF($D109&lt;&gt;"Serviço","",IF(AUTOEVENTO="manual",$A109,IF(ISERROR(MATCH($A109,$A$15:OFFSET($A109,-1,0),0)),MAX($M$15:OFFSET(M109,-1,0))+1,INDEX($M$15:OFFSET(M109,-1,0),MATCH($A109,$A$15:OFFSET($A109,-1,0),0)))))</f>
        <v>5</v>
      </c>
      <c r="N109" s="211" t="str">
        <f ca="1">IF($D109&lt;&gt;"Serviço","",IF(AUTOEVENTO="Manual",IF($A109=0,"&lt;-- defina o número do agrupador",OFFSET(EVENTOS!$D$14,$A109,0)),OFFSET($F$15,$A109,0)))</f>
        <v>PINTURAS E TEXTURAS</v>
      </c>
      <c r="O109" s="212"/>
      <c r="Q109" s="212"/>
      <c r="R109" s="213"/>
      <c r="S109" s="213"/>
      <c r="T109" s="213"/>
      <c r="U109" s="213"/>
      <c r="V109" s="213"/>
      <c r="W109" s="213"/>
      <c r="X109" s="213"/>
      <c r="Y109" s="213"/>
      <c r="Z109" s="214"/>
      <c r="AB109" s="592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3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3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3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3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3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3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3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3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4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5">
        <f ca="1">IF($D109&lt;&gt;"Serviço",0,IF(AND(AUTOEVENTO="Manual",$M109=1),0,IF(OFFSET(CRONOPLE!$F$14,$M109,AM$13)="",10^12,OFFSET(CRONOPLE!$F$14,$M109,AM$13))))</f>
        <v>2</v>
      </c>
      <c r="AN109" s="215">
        <f ca="1">IF($D109&lt;&gt;"Serviço",0,IF(AND(AUTOEVENTO="Manual",$M109=1),0,IF(OFFSET(CRONOPLE!$F$14,$M109,AN$13)="",10^12,OFFSET(CRONOPLE!$F$14,$M109,AN$13))))</f>
        <v>2</v>
      </c>
      <c r="AO109" s="215">
        <f ca="1">IF($D109&lt;&gt;"Serviço",0,IF(AND(AUTOEVENTO="Manual",$M109=1),0,IF(OFFSET(CRONOPLE!$F$14,$M109,AO$13)="",10^12,OFFSET(CRONOPLE!$F$14,$M109,AO$13))))</f>
        <v>3</v>
      </c>
      <c r="AP109" s="215">
        <f ca="1">IF($D109&lt;&gt;"Serviço",0,IF(AND(AUTOEVENTO="Manual",$M109=1),0,IF(OFFSET(CRONOPLE!$F$14,$M109,AP$13)="",10^12,OFFSET(CRONOPLE!$F$14,$M109,AP$13))))</f>
        <v>1000000000000</v>
      </c>
      <c r="AQ109" s="215">
        <f ca="1">IF($D109&lt;&gt;"Serviço",0,IF(AND(AUTOEVENTO="Manual",$M109=1),0,IF(OFFSET(CRONOPLE!$F$14,$M109,AQ$13)="",10^12,OFFSET(CRONOPLE!$F$14,$M109,AQ$13))))</f>
        <v>1000000000000</v>
      </c>
      <c r="AR109" s="215">
        <f ca="1">IF($D109&lt;&gt;"Serviço",0,IF(AND(AUTOEVENTO="Manual",$M109=1),0,IF(OFFSET(CRONOPLE!$F$14,$M109,AR$13)="",10^12,OFFSET(CRONOPLE!$F$14,$M109,AR$13))))</f>
        <v>1000000000000</v>
      </c>
      <c r="AS109" s="215">
        <f ca="1">IF($D109&lt;&gt;"Serviço",0,IF(AND(AUTOEVENTO="Manual",$M109=1),0,IF(OFFSET(CRONOPLE!$F$14,$M109,AS$13)="",10^12,OFFSET(CRONOPLE!$F$14,$M109,AS$13))))</f>
        <v>1000000000000</v>
      </c>
      <c r="AT109" s="215">
        <f ca="1">IF($D109&lt;&gt;"Serviço",0,IF(AND(AUTOEVENTO="Manual",$M109=1),0,IF(OFFSET(CRONOPLE!$F$14,$M109,AT$13)="",10^12,OFFSET(CRONOPLE!$F$14,$M109,AT$13))))</f>
        <v>1000000000000</v>
      </c>
      <c r="AU109" s="215">
        <f ca="1">IF($D109&lt;&gt;"Serviço",0,IF(AND(AUTOEVENTO="Manual",$M109=1),0,IF(OFFSET(CRONOPLE!$F$14,$M109,AU$13)="",10^12,OFFSET(CRONOPLE!$F$14,$M109,AU$13))))</f>
        <v>1000000000000</v>
      </c>
      <c r="AV109" s="215">
        <f ca="1">IF($D109&lt;&gt;"Serviço",0,IF(AND(AUTOEVENTO="Manual",$M109=1),0,IF(OFFSET(CRONOPLE!$F$14,$M109,AV$13)="",10^12,OFFSET(CRONOPLE!$F$14,$M109,AV$13))))</f>
        <v>1000000000000</v>
      </c>
      <c r="AX109" s="216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6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6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6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6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6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6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6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6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6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37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5" t="str">
        <f ca="1">OFFSET(ORÇAMENTO!N$15,ROW(D110)-ROW(D$15),0)</f>
        <v>Serviço</v>
      </c>
      <c r="E110" s="205" t="str">
        <f ca="1">OFFSET(ORÇAMENTO!O$15,ROW(E110)-ROW(E$15),0)</f>
        <v>-</v>
      </c>
      <c r="F110" s="206" t="str">
        <f ca="1">OFFSET(ORÇAMENTO!R$15,ROW(F110)-ROW(F$15),0)</f>
        <v>(abra o arquivo 'Referência 05-2023.xls)</v>
      </c>
      <c r="G110" s="207" t="str">
        <f ca="1">IF($D110&lt;&gt;"Serviço","",OFFSET(ORÇAMENTO!S$15,ROW(G110)-ROW(G$15),0))</f>
        <v>-</v>
      </c>
      <c r="H110" s="151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1"/>
      <c r="K110" s="208"/>
      <c r="L110" s="209" t="s">
        <v>254</v>
      </c>
      <c r="M110" s="210">
        <f ca="1">IF($D110&lt;&gt;"Serviço","",IF(AUTOEVENTO="manual",$A110,IF(ISERROR(MATCH($A110,$A$15:OFFSET($A110,-1,0),0)),MAX($M$15:OFFSET(M110,-1,0))+1,INDEX($M$15:OFFSET(M110,-1,0),MATCH($A110,$A$15:OFFSET($A110,-1,0),0)))))</f>
        <v>5</v>
      </c>
      <c r="N110" s="211" t="str">
        <f ca="1">IF($D110&lt;&gt;"Serviço","",IF(AUTOEVENTO="Manual",IF($A110=0,"&lt;-- defina o número do agrupador",OFFSET(EVENTOS!$D$14,$A110,0)),OFFSET($F$15,$A110,0)))</f>
        <v>PINTURAS E TEXTURAS</v>
      </c>
      <c r="O110" s="212"/>
      <c r="Q110" s="212"/>
      <c r="R110" s="213"/>
      <c r="S110" s="213"/>
      <c r="T110" s="213"/>
      <c r="U110" s="213"/>
      <c r="V110" s="213"/>
      <c r="W110" s="213"/>
      <c r="X110" s="213"/>
      <c r="Y110" s="213"/>
      <c r="Z110" s="214"/>
      <c r="AB110" s="592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3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3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3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3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3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3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3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3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4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5">
        <f ca="1">IF($D110&lt;&gt;"Serviço",0,IF(AND(AUTOEVENTO="Manual",$M110=1),0,IF(OFFSET(CRONOPLE!$F$14,$M110,AM$13)="",10^12,OFFSET(CRONOPLE!$F$14,$M110,AM$13))))</f>
        <v>2</v>
      </c>
      <c r="AN110" s="215">
        <f ca="1">IF($D110&lt;&gt;"Serviço",0,IF(AND(AUTOEVENTO="Manual",$M110=1),0,IF(OFFSET(CRONOPLE!$F$14,$M110,AN$13)="",10^12,OFFSET(CRONOPLE!$F$14,$M110,AN$13))))</f>
        <v>2</v>
      </c>
      <c r="AO110" s="215">
        <f ca="1">IF($D110&lt;&gt;"Serviço",0,IF(AND(AUTOEVENTO="Manual",$M110=1),0,IF(OFFSET(CRONOPLE!$F$14,$M110,AO$13)="",10^12,OFFSET(CRONOPLE!$F$14,$M110,AO$13))))</f>
        <v>3</v>
      </c>
      <c r="AP110" s="215">
        <f ca="1">IF($D110&lt;&gt;"Serviço",0,IF(AND(AUTOEVENTO="Manual",$M110=1),0,IF(OFFSET(CRONOPLE!$F$14,$M110,AP$13)="",10^12,OFFSET(CRONOPLE!$F$14,$M110,AP$13))))</f>
        <v>1000000000000</v>
      </c>
      <c r="AQ110" s="215">
        <f ca="1">IF($D110&lt;&gt;"Serviço",0,IF(AND(AUTOEVENTO="Manual",$M110=1),0,IF(OFFSET(CRONOPLE!$F$14,$M110,AQ$13)="",10^12,OFFSET(CRONOPLE!$F$14,$M110,AQ$13))))</f>
        <v>1000000000000</v>
      </c>
      <c r="AR110" s="215">
        <f ca="1">IF($D110&lt;&gt;"Serviço",0,IF(AND(AUTOEVENTO="Manual",$M110=1),0,IF(OFFSET(CRONOPLE!$F$14,$M110,AR$13)="",10^12,OFFSET(CRONOPLE!$F$14,$M110,AR$13))))</f>
        <v>1000000000000</v>
      </c>
      <c r="AS110" s="215">
        <f ca="1">IF($D110&lt;&gt;"Serviço",0,IF(AND(AUTOEVENTO="Manual",$M110=1),0,IF(OFFSET(CRONOPLE!$F$14,$M110,AS$13)="",10^12,OFFSET(CRONOPLE!$F$14,$M110,AS$13))))</f>
        <v>1000000000000</v>
      </c>
      <c r="AT110" s="215">
        <f ca="1">IF($D110&lt;&gt;"Serviço",0,IF(AND(AUTOEVENTO="Manual",$M110=1),0,IF(OFFSET(CRONOPLE!$F$14,$M110,AT$13)="",10^12,OFFSET(CRONOPLE!$F$14,$M110,AT$13))))</f>
        <v>1000000000000</v>
      </c>
      <c r="AU110" s="215">
        <f ca="1">IF($D110&lt;&gt;"Serviço",0,IF(AND(AUTOEVENTO="Manual",$M110=1),0,IF(OFFSET(CRONOPLE!$F$14,$M110,AU$13)="",10^12,OFFSET(CRONOPLE!$F$14,$M110,AU$13))))</f>
        <v>1000000000000</v>
      </c>
      <c r="AV110" s="215">
        <f ca="1">IF($D110&lt;&gt;"Serviço",0,IF(AND(AUTOEVENTO="Manual",$M110=1),0,IF(OFFSET(CRONOPLE!$F$14,$M110,AV$13)="",10^12,OFFSET(CRONOPLE!$F$14,$M110,AV$13))))</f>
        <v>1000000000000</v>
      </c>
      <c r="AX110" s="216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6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6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6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6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6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6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6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6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6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37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5" t="str">
        <f ca="1">OFFSET(ORÇAMENTO!N$15,ROW(D111)-ROW(D$15),0)</f>
        <v>Serviço</v>
      </c>
      <c r="E111" s="205" t="str">
        <f ca="1">OFFSET(ORÇAMENTO!O$15,ROW(E111)-ROW(E$15),0)</f>
        <v>-</v>
      </c>
      <c r="F111" s="206" t="str">
        <f ca="1">OFFSET(ORÇAMENTO!R$15,ROW(F111)-ROW(F$15),0)</f>
        <v>(abra o arquivo 'Referência 05-2023.xls)</v>
      </c>
      <c r="G111" s="207" t="str">
        <f ca="1">IF($D111&lt;&gt;"Serviço","",OFFSET(ORÇAMENTO!S$15,ROW(G111)-ROW(G$15),0))</f>
        <v>-</v>
      </c>
      <c r="H111" s="151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1"/>
      <c r="K111" s="208"/>
      <c r="L111" s="209" t="s">
        <v>254</v>
      </c>
      <c r="M111" s="210">
        <f ca="1">IF($D111&lt;&gt;"Serviço","",IF(AUTOEVENTO="manual",$A111,IF(ISERROR(MATCH($A111,$A$15:OFFSET($A111,-1,0),0)),MAX($M$15:OFFSET(M111,-1,0))+1,INDEX($M$15:OFFSET(M111,-1,0),MATCH($A111,$A$15:OFFSET($A111,-1,0),0)))))</f>
        <v>5</v>
      </c>
      <c r="N111" s="211" t="str">
        <f ca="1">IF($D111&lt;&gt;"Serviço","",IF(AUTOEVENTO="Manual",IF($A111=0,"&lt;-- defina o número do agrupador",OFFSET(EVENTOS!$D$14,$A111,0)),OFFSET($F$15,$A111,0)))</f>
        <v>PINTURAS E TEXTURAS</v>
      </c>
      <c r="O111" s="212"/>
      <c r="Q111" s="212"/>
      <c r="R111" s="213"/>
      <c r="S111" s="213"/>
      <c r="T111" s="213"/>
      <c r="U111" s="213"/>
      <c r="V111" s="213"/>
      <c r="W111" s="213"/>
      <c r="X111" s="213"/>
      <c r="Y111" s="213"/>
      <c r="Z111" s="214"/>
      <c r="AB111" s="592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3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3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3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3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3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3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3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3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4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5">
        <f ca="1">IF($D111&lt;&gt;"Serviço",0,IF(AND(AUTOEVENTO="Manual",$M111=1),0,IF(OFFSET(CRONOPLE!$F$14,$M111,AM$13)="",10^12,OFFSET(CRONOPLE!$F$14,$M111,AM$13))))</f>
        <v>2</v>
      </c>
      <c r="AN111" s="215">
        <f ca="1">IF($D111&lt;&gt;"Serviço",0,IF(AND(AUTOEVENTO="Manual",$M111=1),0,IF(OFFSET(CRONOPLE!$F$14,$M111,AN$13)="",10^12,OFFSET(CRONOPLE!$F$14,$M111,AN$13))))</f>
        <v>2</v>
      </c>
      <c r="AO111" s="215">
        <f ca="1">IF($D111&lt;&gt;"Serviço",0,IF(AND(AUTOEVENTO="Manual",$M111=1),0,IF(OFFSET(CRONOPLE!$F$14,$M111,AO$13)="",10^12,OFFSET(CRONOPLE!$F$14,$M111,AO$13))))</f>
        <v>3</v>
      </c>
      <c r="AP111" s="215">
        <f ca="1">IF($D111&lt;&gt;"Serviço",0,IF(AND(AUTOEVENTO="Manual",$M111=1),0,IF(OFFSET(CRONOPLE!$F$14,$M111,AP$13)="",10^12,OFFSET(CRONOPLE!$F$14,$M111,AP$13))))</f>
        <v>1000000000000</v>
      </c>
      <c r="AQ111" s="215">
        <f ca="1">IF($D111&lt;&gt;"Serviço",0,IF(AND(AUTOEVENTO="Manual",$M111=1),0,IF(OFFSET(CRONOPLE!$F$14,$M111,AQ$13)="",10^12,OFFSET(CRONOPLE!$F$14,$M111,AQ$13))))</f>
        <v>1000000000000</v>
      </c>
      <c r="AR111" s="215">
        <f ca="1">IF($D111&lt;&gt;"Serviço",0,IF(AND(AUTOEVENTO="Manual",$M111=1),0,IF(OFFSET(CRONOPLE!$F$14,$M111,AR$13)="",10^12,OFFSET(CRONOPLE!$F$14,$M111,AR$13))))</f>
        <v>1000000000000</v>
      </c>
      <c r="AS111" s="215">
        <f ca="1">IF($D111&lt;&gt;"Serviço",0,IF(AND(AUTOEVENTO="Manual",$M111=1),0,IF(OFFSET(CRONOPLE!$F$14,$M111,AS$13)="",10^12,OFFSET(CRONOPLE!$F$14,$M111,AS$13))))</f>
        <v>1000000000000</v>
      </c>
      <c r="AT111" s="215">
        <f ca="1">IF($D111&lt;&gt;"Serviço",0,IF(AND(AUTOEVENTO="Manual",$M111=1),0,IF(OFFSET(CRONOPLE!$F$14,$M111,AT$13)="",10^12,OFFSET(CRONOPLE!$F$14,$M111,AT$13))))</f>
        <v>1000000000000</v>
      </c>
      <c r="AU111" s="215">
        <f ca="1">IF($D111&lt;&gt;"Serviço",0,IF(AND(AUTOEVENTO="Manual",$M111=1),0,IF(OFFSET(CRONOPLE!$F$14,$M111,AU$13)="",10^12,OFFSET(CRONOPLE!$F$14,$M111,AU$13))))</f>
        <v>1000000000000</v>
      </c>
      <c r="AV111" s="215">
        <f ca="1">IF($D111&lt;&gt;"Serviço",0,IF(AND(AUTOEVENTO="Manual",$M111=1),0,IF(OFFSET(CRONOPLE!$F$14,$M111,AV$13)="",10^12,OFFSET(CRONOPLE!$F$14,$M111,AV$13))))</f>
        <v>1000000000000</v>
      </c>
      <c r="AX111" s="216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6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6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6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6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6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6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6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6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6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37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5" t="str">
        <f ca="1">OFFSET(ORÇAMENTO!N$15,ROW(D112)-ROW(D$15),0)</f>
        <v>Serviço</v>
      </c>
      <c r="E112" s="205" t="str">
        <f ca="1">OFFSET(ORÇAMENTO!O$15,ROW(E112)-ROW(E$15),0)</f>
        <v>-</v>
      </c>
      <c r="F112" s="206" t="str">
        <f ca="1">OFFSET(ORÇAMENTO!R$15,ROW(F112)-ROW(F$15),0)</f>
        <v>(abra o arquivo 'Referência 05-2023.xls)</v>
      </c>
      <c r="G112" s="207" t="str">
        <f ca="1">IF($D112&lt;&gt;"Serviço","",OFFSET(ORÇAMENTO!S$15,ROW(G112)-ROW(G$15),0))</f>
        <v>-</v>
      </c>
      <c r="H112" s="151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1"/>
      <c r="K112" s="208"/>
      <c r="L112" s="209" t="s">
        <v>254</v>
      </c>
      <c r="M112" s="210">
        <f ca="1">IF($D112&lt;&gt;"Serviço","",IF(AUTOEVENTO="manual",$A112,IF(ISERROR(MATCH($A112,$A$15:OFFSET($A112,-1,0),0)),MAX($M$15:OFFSET(M112,-1,0))+1,INDEX($M$15:OFFSET(M112,-1,0),MATCH($A112,$A$15:OFFSET($A112,-1,0),0)))))</f>
        <v>5</v>
      </c>
      <c r="N112" s="211" t="str">
        <f ca="1">IF($D112&lt;&gt;"Serviço","",IF(AUTOEVENTO="Manual",IF($A112=0,"&lt;-- defina o número do agrupador",OFFSET(EVENTOS!$D$14,$A112,0)),OFFSET($F$15,$A112,0)))</f>
        <v>PINTURAS E TEXTURAS</v>
      </c>
      <c r="O112" s="212"/>
      <c r="Q112" s="212"/>
      <c r="R112" s="213"/>
      <c r="S112" s="213"/>
      <c r="T112" s="213"/>
      <c r="U112" s="213"/>
      <c r="V112" s="213"/>
      <c r="W112" s="213"/>
      <c r="X112" s="213"/>
      <c r="Y112" s="213"/>
      <c r="Z112" s="214"/>
      <c r="AB112" s="592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3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3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3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3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3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3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3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3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4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5">
        <f ca="1">IF($D112&lt;&gt;"Serviço",0,IF(AND(AUTOEVENTO="Manual",$M112=1),0,IF(OFFSET(CRONOPLE!$F$14,$M112,AM$13)="",10^12,OFFSET(CRONOPLE!$F$14,$M112,AM$13))))</f>
        <v>2</v>
      </c>
      <c r="AN112" s="215">
        <f ca="1">IF($D112&lt;&gt;"Serviço",0,IF(AND(AUTOEVENTO="Manual",$M112=1),0,IF(OFFSET(CRONOPLE!$F$14,$M112,AN$13)="",10^12,OFFSET(CRONOPLE!$F$14,$M112,AN$13))))</f>
        <v>2</v>
      </c>
      <c r="AO112" s="215">
        <f ca="1">IF($D112&lt;&gt;"Serviço",0,IF(AND(AUTOEVENTO="Manual",$M112=1),0,IF(OFFSET(CRONOPLE!$F$14,$M112,AO$13)="",10^12,OFFSET(CRONOPLE!$F$14,$M112,AO$13))))</f>
        <v>3</v>
      </c>
      <c r="AP112" s="215">
        <f ca="1">IF($D112&lt;&gt;"Serviço",0,IF(AND(AUTOEVENTO="Manual",$M112=1),0,IF(OFFSET(CRONOPLE!$F$14,$M112,AP$13)="",10^12,OFFSET(CRONOPLE!$F$14,$M112,AP$13))))</f>
        <v>1000000000000</v>
      </c>
      <c r="AQ112" s="215">
        <f ca="1">IF($D112&lt;&gt;"Serviço",0,IF(AND(AUTOEVENTO="Manual",$M112=1),0,IF(OFFSET(CRONOPLE!$F$14,$M112,AQ$13)="",10^12,OFFSET(CRONOPLE!$F$14,$M112,AQ$13))))</f>
        <v>1000000000000</v>
      </c>
      <c r="AR112" s="215">
        <f ca="1">IF($D112&lt;&gt;"Serviço",0,IF(AND(AUTOEVENTO="Manual",$M112=1),0,IF(OFFSET(CRONOPLE!$F$14,$M112,AR$13)="",10^12,OFFSET(CRONOPLE!$F$14,$M112,AR$13))))</f>
        <v>1000000000000</v>
      </c>
      <c r="AS112" s="215">
        <f ca="1">IF($D112&lt;&gt;"Serviço",0,IF(AND(AUTOEVENTO="Manual",$M112=1),0,IF(OFFSET(CRONOPLE!$F$14,$M112,AS$13)="",10^12,OFFSET(CRONOPLE!$F$14,$M112,AS$13))))</f>
        <v>1000000000000</v>
      </c>
      <c r="AT112" s="215">
        <f ca="1">IF($D112&lt;&gt;"Serviço",0,IF(AND(AUTOEVENTO="Manual",$M112=1),0,IF(OFFSET(CRONOPLE!$F$14,$M112,AT$13)="",10^12,OFFSET(CRONOPLE!$F$14,$M112,AT$13))))</f>
        <v>1000000000000</v>
      </c>
      <c r="AU112" s="215">
        <f ca="1">IF($D112&lt;&gt;"Serviço",0,IF(AND(AUTOEVENTO="Manual",$M112=1),0,IF(OFFSET(CRONOPLE!$F$14,$M112,AU$13)="",10^12,OFFSET(CRONOPLE!$F$14,$M112,AU$13))))</f>
        <v>1000000000000</v>
      </c>
      <c r="AV112" s="215">
        <f ca="1">IF($D112&lt;&gt;"Serviço",0,IF(AND(AUTOEVENTO="Manual",$M112=1),0,IF(OFFSET(CRONOPLE!$F$14,$M112,AV$13)="",10^12,OFFSET(CRONOPLE!$F$14,$M112,AV$13))))</f>
        <v>1000000000000</v>
      </c>
      <c r="AX112" s="216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6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6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6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6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6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6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6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6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6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37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5" t="str">
        <f ca="1">OFFSET(ORÇAMENTO!N$15,ROW(D113)-ROW(D$15),0)</f>
        <v>Serviço</v>
      </c>
      <c r="E113" s="205" t="str">
        <f ca="1">OFFSET(ORÇAMENTO!O$15,ROW(E113)-ROW(E$15),0)</f>
        <v>-</v>
      </c>
      <c r="F113" s="206" t="str">
        <f ca="1">OFFSET(ORÇAMENTO!R$15,ROW(F113)-ROW(F$15),0)</f>
        <v>(abra o arquivo 'Referência 05-2023.xls)</v>
      </c>
      <c r="G113" s="207" t="str">
        <f ca="1">IF($D113&lt;&gt;"Serviço","",OFFSET(ORÇAMENTO!S$15,ROW(G113)-ROW(G$15),0))</f>
        <v>-</v>
      </c>
      <c r="H113" s="151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1"/>
      <c r="K113" s="208"/>
      <c r="L113" s="209" t="s">
        <v>254</v>
      </c>
      <c r="M113" s="210">
        <f ca="1">IF($D113&lt;&gt;"Serviço","",IF(AUTOEVENTO="manual",$A113,IF(ISERROR(MATCH($A113,$A$15:OFFSET($A113,-1,0),0)),MAX($M$15:OFFSET(M113,-1,0))+1,INDEX($M$15:OFFSET(M113,-1,0),MATCH($A113,$A$15:OFFSET($A113,-1,0),0)))))</f>
        <v>5</v>
      </c>
      <c r="N113" s="211" t="str">
        <f ca="1">IF($D113&lt;&gt;"Serviço","",IF(AUTOEVENTO="Manual",IF($A113=0,"&lt;-- defina o número do agrupador",OFFSET(EVENTOS!$D$14,$A113,0)),OFFSET($F$15,$A113,0)))</f>
        <v>PINTURAS E TEXTURAS</v>
      </c>
      <c r="O113" s="212"/>
      <c r="Q113" s="212"/>
      <c r="R113" s="213"/>
      <c r="S113" s="213"/>
      <c r="T113" s="213"/>
      <c r="U113" s="213"/>
      <c r="V113" s="213"/>
      <c r="W113" s="213"/>
      <c r="X113" s="213"/>
      <c r="Y113" s="213"/>
      <c r="Z113" s="214"/>
      <c r="AB113" s="592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3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3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3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3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3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3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3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3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4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5">
        <f ca="1">IF($D113&lt;&gt;"Serviço",0,IF(AND(AUTOEVENTO="Manual",$M113=1),0,IF(OFFSET(CRONOPLE!$F$14,$M113,AM$13)="",10^12,OFFSET(CRONOPLE!$F$14,$M113,AM$13))))</f>
        <v>2</v>
      </c>
      <c r="AN113" s="215">
        <f ca="1">IF($D113&lt;&gt;"Serviço",0,IF(AND(AUTOEVENTO="Manual",$M113=1),0,IF(OFFSET(CRONOPLE!$F$14,$M113,AN$13)="",10^12,OFFSET(CRONOPLE!$F$14,$M113,AN$13))))</f>
        <v>2</v>
      </c>
      <c r="AO113" s="215">
        <f ca="1">IF($D113&lt;&gt;"Serviço",0,IF(AND(AUTOEVENTO="Manual",$M113=1),0,IF(OFFSET(CRONOPLE!$F$14,$M113,AO$13)="",10^12,OFFSET(CRONOPLE!$F$14,$M113,AO$13))))</f>
        <v>3</v>
      </c>
      <c r="AP113" s="215">
        <f ca="1">IF($D113&lt;&gt;"Serviço",0,IF(AND(AUTOEVENTO="Manual",$M113=1),0,IF(OFFSET(CRONOPLE!$F$14,$M113,AP$13)="",10^12,OFFSET(CRONOPLE!$F$14,$M113,AP$13))))</f>
        <v>1000000000000</v>
      </c>
      <c r="AQ113" s="215">
        <f ca="1">IF($D113&lt;&gt;"Serviço",0,IF(AND(AUTOEVENTO="Manual",$M113=1),0,IF(OFFSET(CRONOPLE!$F$14,$M113,AQ$13)="",10^12,OFFSET(CRONOPLE!$F$14,$M113,AQ$13))))</f>
        <v>1000000000000</v>
      </c>
      <c r="AR113" s="215">
        <f ca="1">IF($D113&lt;&gt;"Serviço",0,IF(AND(AUTOEVENTO="Manual",$M113=1),0,IF(OFFSET(CRONOPLE!$F$14,$M113,AR$13)="",10^12,OFFSET(CRONOPLE!$F$14,$M113,AR$13))))</f>
        <v>1000000000000</v>
      </c>
      <c r="AS113" s="215">
        <f ca="1">IF($D113&lt;&gt;"Serviço",0,IF(AND(AUTOEVENTO="Manual",$M113=1),0,IF(OFFSET(CRONOPLE!$F$14,$M113,AS$13)="",10^12,OFFSET(CRONOPLE!$F$14,$M113,AS$13))))</f>
        <v>1000000000000</v>
      </c>
      <c r="AT113" s="215">
        <f ca="1">IF($D113&lt;&gt;"Serviço",0,IF(AND(AUTOEVENTO="Manual",$M113=1),0,IF(OFFSET(CRONOPLE!$F$14,$M113,AT$13)="",10^12,OFFSET(CRONOPLE!$F$14,$M113,AT$13))))</f>
        <v>1000000000000</v>
      </c>
      <c r="AU113" s="215">
        <f ca="1">IF($D113&lt;&gt;"Serviço",0,IF(AND(AUTOEVENTO="Manual",$M113=1),0,IF(OFFSET(CRONOPLE!$F$14,$M113,AU$13)="",10^12,OFFSET(CRONOPLE!$F$14,$M113,AU$13))))</f>
        <v>1000000000000</v>
      </c>
      <c r="AV113" s="215">
        <f ca="1">IF($D113&lt;&gt;"Serviço",0,IF(AND(AUTOEVENTO="Manual",$M113=1),0,IF(OFFSET(CRONOPLE!$F$14,$M113,AV$13)="",10^12,OFFSET(CRONOPLE!$F$14,$M113,AV$13))))</f>
        <v>1000000000000</v>
      </c>
      <c r="AX113" s="216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6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6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6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6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6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6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6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6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6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37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5" t="str">
        <f ca="1">OFFSET(ORÇAMENTO!N$15,ROW(D114)-ROW(D$15),0)</f>
        <v>Serviço</v>
      </c>
      <c r="E114" s="205" t="str">
        <f ca="1">OFFSET(ORÇAMENTO!O$15,ROW(E114)-ROW(E$15),0)</f>
        <v>-</v>
      </c>
      <c r="F114" s="206" t="str">
        <f ca="1">OFFSET(ORÇAMENTO!R$15,ROW(F114)-ROW(F$15),0)</f>
        <v>(abra o arquivo 'Referência 05-2023.xls)</v>
      </c>
      <c r="G114" s="207" t="str">
        <f ca="1">IF($D114&lt;&gt;"Serviço","",OFFSET(ORÇAMENTO!S$15,ROW(G114)-ROW(G$15),0))</f>
        <v>-</v>
      </c>
      <c r="H114" s="151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1"/>
      <c r="K114" s="208"/>
      <c r="L114" s="209" t="s">
        <v>254</v>
      </c>
      <c r="M114" s="210">
        <f ca="1">IF($D114&lt;&gt;"Serviço","",IF(AUTOEVENTO="manual",$A114,IF(ISERROR(MATCH($A114,$A$15:OFFSET($A114,-1,0),0)),MAX($M$15:OFFSET(M114,-1,0))+1,INDEX($M$15:OFFSET(M114,-1,0),MATCH($A114,$A$15:OFFSET($A114,-1,0),0)))))</f>
        <v>5</v>
      </c>
      <c r="N114" s="211" t="str">
        <f ca="1">IF($D114&lt;&gt;"Serviço","",IF(AUTOEVENTO="Manual",IF($A114=0,"&lt;-- defina o número do agrupador",OFFSET(EVENTOS!$D$14,$A114,0)),OFFSET($F$15,$A114,0)))</f>
        <v>PINTURAS E TEXTURAS</v>
      </c>
      <c r="O114" s="212"/>
      <c r="Q114" s="212"/>
      <c r="R114" s="213"/>
      <c r="S114" s="213"/>
      <c r="T114" s="213"/>
      <c r="U114" s="213"/>
      <c r="V114" s="213"/>
      <c r="W114" s="213"/>
      <c r="X114" s="213"/>
      <c r="Y114" s="213"/>
      <c r="Z114" s="214"/>
      <c r="AB114" s="592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3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3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3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3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3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3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3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3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4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5">
        <f ca="1">IF($D114&lt;&gt;"Serviço",0,IF(AND(AUTOEVENTO="Manual",$M114=1),0,IF(OFFSET(CRONOPLE!$F$14,$M114,AM$13)="",10^12,OFFSET(CRONOPLE!$F$14,$M114,AM$13))))</f>
        <v>2</v>
      </c>
      <c r="AN114" s="215">
        <f ca="1">IF($D114&lt;&gt;"Serviço",0,IF(AND(AUTOEVENTO="Manual",$M114=1),0,IF(OFFSET(CRONOPLE!$F$14,$M114,AN$13)="",10^12,OFFSET(CRONOPLE!$F$14,$M114,AN$13))))</f>
        <v>2</v>
      </c>
      <c r="AO114" s="215">
        <f ca="1">IF($D114&lt;&gt;"Serviço",0,IF(AND(AUTOEVENTO="Manual",$M114=1),0,IF(OFFSET(CRONOPLE!$F$14,$M114,AO$13)="",10^12,OFFSET(CRONOPLE!$F$14,$M114,AO$13))))</f>
        <v>3</v>
      </c>
      <c r="AP114" s="215">
        <f ca="1">IF($D114&lt;&gt;"Serviço",0,IF(AND(AUTOEVENTO="Manual",$M114=1),0,IF(OFFSET(CRONOPLE!$F$14,$M114,AP$13)="",10^12,OFFSET(CRONOPLE!$F$14,$M114,AP$13))))</f>
        <v>1000000000000</v>
      </c>
      <c r="AQ114" s="215">
        <f ca="1">IF($D114&lt;&gt;"Serviço",0,IF(AND(AUTOEVENTO="Manual",$M114=1),0,IF(OFFSET(CRONOPLE!$F$14,$M114,AQ$13)="",10^12,OFFSET(CRONOPLE!$F$14,$M114,AQ$13))))</f>
        <v>1000000000000</v>
      </c>
      <c r="AR114" s="215">
        <f ca="1">IF($D114&lt;&gt;"Serviço",0,IF(AND(AUTOEVENTO="Manual",$M114=1),0,IF(OFFSET(CRONOPLE!$F$14,$M114,AR$13)="",10^12,OFFSET(CRONOPLE!$F$14,$M114,AR$13))))</f>
        <v>1000000000000</v>
      </c>
      <c r="AS114" s="215">
        <f ca="1">IF($D114&lt;&gt;"Serviço",0,IF(AND(AUTOEVENTO="Manual",$M114=1),0,IF(OFFSET(CRONOPLE!$F$14,$M114,AS$13)="",10^12,OFFSET(CRONOPLE!$F$14,$M114,AS$13))))</f>
        <v>1000000000000</v>
      </c>
      <c r="AT114" s="215">
        <f ca="1">IF($D114&lt;&gt;"Serviço",0,IF(AND(AUTOEVENTO="Manual",$M114=1),0,IF(OFFSET(CRONOPLE!$F$14,$M114,AT$13)="",10^12,OFFSET(CRONOPLE!$F$14,$M114,AT$13))))</f>
        <v>1000000000000</v>
      </c>
      <c r="AU114" s="215">
        <f ca="1">IF($D114&lt;&gt;"Serviço",0,IF(AND(AUTOEVENTO="Manual",$M114=1),0,IF(OFFSET(CRONOPLE!$F$14,$M114,AU$13)="",10^12,OFFSET(CRONOPLE!$F$14,$M114,AU$13))))</f>
        <v>1000000000000</v>
      </c>
      <c r="AV114" s="215">
        <f ca="1">IF($D114&lt;&gt;"Serviço",0,IF(AND(AUTOEVENTO="Manual",$M114=1),0,IF(OFFSET(CRONOPLE!$F$14,$M114,AV$13)="",10^12,OFFSET(CRONOPLE!$F$14,$M114,AV$13))))</f>
        <v>1000000000000</v>
      </c>
      <c r="AX114" s="216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6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6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6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6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6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6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6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6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6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37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5" t="str">
        <f ca="1">OFFSET(ORÇAMENTO!N$15,ROW(D115)-ROW(D$15),0)</f>
        <v>Serviço</v>
      </c>
      <c r="E115" s="205" t="str">
        <f ca="1">OFFSET(ORÇAMENTO!O$15,ROW(E115)-ROW(E$15),0)</f>
        <v>-</v>
      </c>
      <c r="F115" s="206" t="str">
        <f ca="1">OFFSET(ORÇAMENTO!R$15,ROW(F115)-ROW(F$15),0)</f>
        <v>(abra o arquivo 'Referência 05-2023.xls)</v>
      </c>
      <c r="G115" s="207" t="str">
        <f ca="1">IF($D115&lt;&gt;"Serviço","",OFFSET(ORÇAMENTO!S$15,ROW(G115)-ROW(G$15),0))</f>
        <v>-</v>
      </c>
      <c r="H115" s="151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1"/>
      <c r="K115" s="208"/>
      <c r="L115" s="209" t="s">
        <v>254</v>
      </c>
      <c r="M115" s="210">
        <f ca="1">IF($D115&lt;&gt;"Serviço","",IF(AUTOEVENTO="manual",$A115,IF(ISERROR(MATCH($A115,$A$15:OFFSET($A115,-1,0),0)),MAX($M$15:OFFSET(M115,-1,0))+1,INDEX($M$15:OFFSET(M115,-1,0),MATCH($A115,$A$15:OFFSET($A115,-1,0),0)))))</f>
        <v>5</v>
      </c>
      <c r="N115" s="211" t="str">
        <f ca="1">IF($D115&lt;&gt;"Serviço","",IF(AUTOEVENTO="Manual",IF($A115=0,"&lt;-- defina o número do agrupador",OFFSET(EVENTOS!$D$14,$A115,0)),OFFSET($F$15,$A115,0)))</f>
        <v>PINTURAS E TEXTURAS</v>
      </c>
      <c r="O115" s="212"/>
      <c r="Q115" s="212"/>
      <c r="R115" s="213"/>
      <c r="S115" s="213"/>
      <c r="T115" s="213"/>
      <c r="U115" s="213"/>
      <c r="V115" s="213"/>
      <c r="W115" s="213"/>
      <c r="X115" s="213"/>
      <c r="Y115" s="213"/>
      <c r="Z115" s="214"/>
      <c r="AB115" s="592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3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3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3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3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3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3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3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3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4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5">
        <f ca="1">IF($D115&lt;&gt;"Serviço",0,IF(AND(AUTOEVENTO="Manual",$M115=1),0,IF(OFFSET(CRONOPLE!$F$14,$M115,AM$13)="",10^12,OFFSET(CRONOPLE!$F$14,$M115,AM$13))))</f>
        <v>2</v>
      </c>
      <c r="AN115" s="215">
        <f ca="1">IF($D115&lt;&gt;"Serviço",0,IF(AND(AUTOEVENTO="Manual",$M115=1),0,IF(OFFSET(CRONOPLE!$F$14,$M115,AN$13)="",10^12,OFFSET(CRONOPLE!$F$14,$M115,AN$13))))</f>
        <v>2</v>
      </c>
      <c r="AO115" s="215">
        <f ca="1">IF($D115&lt;&gt;"Serviço",0,IF(AND(AUTOEVENTO="Manual",$M115=1),0,IF(OFFSET(CRONOPLE!$F$14,$M115,AO$13)="",10^12,OFFSET(CRONOPLE!$F$14,$M115,AO$13))))</f>
        <v>3</v>
      </c>
      <c r="AP115" s="215">
        <f ca="1">IF($D115&lt;&gt;"Serviço",0,IF(AND(AUTOEVENTO="Manual",$M115=1),0,IF(OFFSET(CRONOPLE!$F$14,$M115,AP$13)="",10^12,OFFSET(CRONOPLE!$F$14,$M115,AP$13))))</f>
        <v>1000000000000</v>
      </c>
      <c r="AQ115" s="215">
        <f ca="1">IF($D115&lt;&gt;"Serviço",0,IF(AND(AUTOEVENTO="Manual",$M115=1),0,IF(OFFSET(CRONOPLE!$F$14,$M115,AQ$13)="",10^12,OFFSET(CRONOPLE!$F$14,$M115,AQ$13))))</f>
        <v>1000000000000</v>
      </c>
      <c r="AR115" s="215">
        <f ca="1">IF($D115&lt;&gt;"Serviço",0,IF(AND(AUTOEVENTO="Manual",$M115=1),0,IF(OFFSET(CRONOPLE!$F$14,$M115,AR$13)="",10^12,OFFSET(CRONOPLE!$F$14,$M115,AR$13))))</f>
        <v>1000000000000</v>
      </c>
      <c r="AS115" s="215">
        <f ca="1">IF($D115&lt;&gt;"Serviço",0,IF(AND(AUTOEVENTO="Manual",$M115=1),0,IF(OFFSET(CRONOPLE!$F$14,$M115,AS$13)="",10^12,OFFSET(CRONOPLE!$F$14,$M115,AS$13))))</f>
        <v>1000000000000</v>
      </c>
      <c r="AT115" s="215">
        <f ca="1">IF($D115&lt;&gt;"Serviço",0,IF(AND(AUTOEVENTO="Manual",$M115=1),0,IF(OFFSET(CRONOPLE!$F$14,$M115,AT$13)="",10^12,OFFSET(CRONOPLE!$F$14,$M115,AT$13))))</f>
        <v>1000000000000</v>
      </c>
      <c r="AU115" s="215">
        <f ca="1">IF($D115&lt;&gt;"Serviço",0,IF(AND(AUTOEVENTO="Manual",$M115=1),0,IF(OFFSET(CRONOPLE!$F$14,$M115,AU$13)="",10^12,OFFSET(CRONOPLE!$F$14,$M115,AU$13))))</f>
        <v>1000000000000</v>
      </c>
      <c r="AV115" s="215">
        <f ca="1">IF($D115&lt;&gt;"Serviço",0,IF(AND(AUTOEVENTO="Manual",$M115=1),0,IF(OFFSET(CRONOPLE!$F$14,$M115,AV$13)="",10^12,OFFSET(CRONOPLE!$F$14,$M115,AV$13))))</f>
        <v>1000000000000</v>
      </c>
      <c r="AX115" s="216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6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6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6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6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6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6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6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6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6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37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5" t="str">
        <f ca="1">OFFSET(ORÇAMENTO!N$15,ROW(D116)-ROW(D$15),0)</f>
        <v>Serviço</v>
      </c>
      <c r="E116" s="205" t="str">
        <f ca="1">OFFSET(ORÇAMENTO!O$15,ROW(E116)-ROW(E$15),0)</f>
        <v>-</v>
      </c>
      <c r="F116" s="206" t="str">
        <f ca="1">OFFSET(ORÇAMENTO!R$15,ROW(F116)-ROW(F$15),0)</f>
        <v>(abra o arquivo 'Referência 05-2023.xls)</v>
      </c>
      <c r="G116" s="207" t="str">
        <f ca="1">IF($D116&lt;&gt;"Serviço","",OFFSET(ORÇAMENTO!S$15,ROW(G116)-ROW(G$15),0))</f>
        <v>-</v>
      </c>
      <c r="H116" s="151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1"/>
      <c r="K116" s="208"/>
      <c r="L116" s="209" t="s">
        <v>254</v>
      </c>
      <c r="M116" s="210">
        <f ca="1">IF($D116&lt;&gt;"Serviço","",IF(AUTOEVENTO="manual",$A116,IF(ISERROR(MATCH($A116,$A$15:OFFSET($A116,-1,0),0)),MAX($M$15:OFFSET(M116,-1,0))+1,INDEX($M$15:OFFSET(M116,-1,0),MATCH($A116,$A$15:OFFSET($A116,-1,0),0)))))</f>
        <v>5</v>
      </c>
      <c r="N116" s="211" t="str">
        <f ca="1">IF($D116&lt;&gt;"Serviço","",IF(AUTOEVENTO="Manual",IF($A116=0,"&lt;-- defina o número do agrupador",OFFSET(EVENTOS!$D$14,$A116,0)),OFFSET($F$15,$A116,0)))</f>
        <v>PINTURAS E TEXTURAS</v>
      </c>
      <c r="O116" s="212"/>
      <c r="Q116" s="212"/>
      <c r="R116" s="213"/>
      <c r="S116" s="213"/>
      <c r="T116" s="213"/>
      <c r="U116" s="213"/>
      <c r="V116" s="213"/>
      <c r="W116" s="213"/>
      <c r="X116" s="213"/>
      <c r="Y116" s="213"/>
      <c r="Z116" s="214"/>
      <c r="AB116" s="592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3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3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3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3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3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3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3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3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4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5">
        <f ca="1">IF($D116&lt;&gt;"Serviço",0,IF(AND(AUTOEVENTO="Manual",$M116=1),0,IF(OFFSET(CRONOPLE!$F$14,$M116,AM$13)="",10^12,OFFSET(CRONOPLE!$F$14,$M116,AM$13))))</f>
        <v>2</v>
      </c>
      <c r="AN116" s="215">
        <f ca="1">IF($D116&lt;&gt;"Serviço",0,IF(AND(AUTOEVENTO="Manual",$M116=1),0,IF(OFFSET(CRONOPLE!$F$14,$M116,AN$13)="",10^12,OFFSET(CRONOPLE!$F$14,$M116,AN$13))))</f>
        <v>2</v>
      </c>
      <c r="AO116" s="215">
        <f ca="1">IF($D116&lt;&gt;"Serviço",0,IF(AND(AUTOEVENTO="Manual",$M116=1),0,IF(OFFSET(CRONOPLE!$F$14,$M116,AO$13)="",10^12,OFFSET(CRONOPLE!$F$14,$M116,AO$13))))</f>
        <v>3</v>
      </c>
      <c r="AP116" s="215">
        <f ca="1">IF($D116&lt;&gt;"Serviço",0,IF(AND(AUTOEVENTO="Manual",$M116=1),0,IF(OFFSET(CRONOPLE!$F$14,$M116,AP$13)="",10^12,OFFSET(CRONOPLE!$F$14,$M116,AP$13))))</f>
        <v>1000000000000</v>
      </c>
      <c r="AQ116" s="215">
        <f ca="1">IF($D116&lt;&gt;"Serviço",0,IF(AND(AUTOEVENTO="Manual",$M116=1),0,IF(OFFSET(CRONOPLE!$F$14,$M116,AQ$13)="",10^12,OFFSET(CRONOPLE!$F$14,$M116,AQ$13))))</f>
        <v>1000000000000</v>
      </c>
      <c r="AR116" s="215">
        <f ca="1">IF($D116&lt;&gt;"Serviço",0,IF(AND(AUTOEVENTO="Manual",$M116=1),0,IF(OFFSET(CRONOPLE!$F$14,$M116,AR$13)="",10^12,OFFSET(CRONOPLE!$F$14,$M116,AR$13))))</f>
        <v>1000000000000</v>
      </c>
      <c r="AS116" s="215">
        <f ca="1">IF($D116&lt;&gt;"Serviço",0,IF(AND(AUTOEVENTO="Manual",$M116=1),0,IF(OFFSET(CRONOPLE!$F$14,$M116,AS$13)="",10^12,OFFSET(CRONOPLE!$F$14,$M116,AS$13))))</f>
        <v>1000000000000</v>
      </c>
      <c r="AT116" s="215">
        <f ca="1">IF($D116&lt;&gt;"Serviço",0,IF(AND(AUTOEVENTO="Manual",$M116=1),0,IF(OFFSET(CRONOPLE!$F$14,$M116,AT$13)="",10^12,OFFSET(CRONOPLE!$F$14,$M116,AT$13))))</f>
        <v>1000000000000</v>
      </c>
      <c r="AU116" s="215">
        <f ca="1">IF($D116&lt;&gt;"Serviço",0,IF(AND(AUTOEVENTO="Manual",$M116=1),0,IF(OFFSET(CRONOPLE!$F$14,$M116,AU$13)="",10^12,OFFSET(CRONOPLE!$F$14,$M116,AU$13))))</f>
        <v>1000000000000</v>
      </c>
      <c r="AV116" s="215">
        <f ca="1">IF($D116&lt;&gt;"Serviço",0,IF(AND(AUTOEVENTO="Manual",$M116=1),0,IF(OFFSET(CRONOPLE!$F$14,$M116,AV$13)="",10^12,OFFSET(CRONOPLE!$F$14,$M116,AV$13))))</f>
        <v>1000000000000</v>
      </c>
      <c r="AX116" s="216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6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6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6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6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6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6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6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6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6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37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5" t="str">
        <f ca="1">OFFSET(ORÇAMENTO!N$15,ROW(D117)-ROW(D$15),0)</f>
        <v>Serviço</v>
      </c>
      <c r="E117" s="205" t="str">
        <f ca="1">OFFSET(ORÇAMENTO!O$15,ROW(E117)-ROW(E$15),0)</f>
        <v>-</v>
      </c>
      <c r="F117" s="206" t="str">
        <f ca="1">OFFSET(ORÇAMENTO!R$15,ROW(F117)-ROW(F$15),0)</f>
        <v>(abra o arquivo 'Referência 05-2023.xls)</v>
      </c>
      <c r="G117" s="207" t="str">
        <f ca="1">IF($D117&lt;&gt;"Serviço","",OFFSET(ORÇAMENTO!S$15,ROW(G117)-ROW(G$15),0))</f>
        <v>-</v>
      </c>
      <c r="H117" s="151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1"/>
      <c r="K117" s="208"/>
      <c r="L117" s="209" t="s">
        <v>254</v>
      </c>
      <c r="M117" s="210">
        <f ca="1">IF($D117&lt;&gt;"Serviço","",IF(AUTOEVENTO="manual",$A117,IF(ISERROR(MATCH($A117,$A$15:OFFSET($A117,-1,0),0)),MAX($M$15:OFFSET(M117,-1,0))+1,INDEX($M$15:OFFSET(M117,-1,0),MATCH($A117,$A$15:OFFSET($A117,-1,0),0)))))</f>
        <v>5</v>
      </c>
      <c r="N117" s="211" t="str">
        <f ca="1">IF($D117&lt;&gt;"Serviço","",IF(AUTOEVENTO="Manual",IF($A117=0,"&lt;-- defina o número do agrupador",OFFSET(EVENTOS!$D$14,$A117,0)),OFFSET($F$15,$A117,0)))</f>
        <v>PINTURAS E TEXTURAS</v>
      </c>
      <c r="O117" s="212"/>
      <c r="Q117" s="212"/>
      <c r="R117" s="213"/>
      <c r="S117" s="213"/>
      <c r="T117" s="213"/>
      <c r="U117" s="213"/>
      <c r="V117" s="213"/>
      <c r="W117" s="213"/>
      <c r="X117" s="213"/>
      <c r="Y117" s="213"/>
      <c r="Z117" s="214"/>
      <c r="AB117" s="592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3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3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3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3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3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3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3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3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4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5">
        <f ca="1">IF($D117&lt;&gt;"Serviço",0,IF(AND(AUTOEVENTO="Manual",$M117=1),0,IF(OFFSET(CRONOPLE!$F$14,$M117,AM$13)="",10^12,OFFSET(CRONOPLE!$F$14,$M117,AM$13))))</f>
        <v>2</v>
      </c>
      <c r="AN117" s="215">
        <f ca="1">IF($D117&lt;&gt;"Serviço",0,IF(AND(AUTOEVENTO="Manual",$M117=1),0,IF(OFFSET(CRONOPLE!$F$14,$M117,AN$13)="",10^12,OFFSET(CRONOPLE!$F$14,$M117,AN$13))))</f>
        <v>2</v>
      </c>
      <c r="AO117" s="215">
        <f ca="1">IF($D117&lt;&gt;"Serviço",0,IF(AND(AUTOEVENTO="Manual",$M117=1),0,IF(OFFSET(CRONOPLE!$F$14,$M117,AO$13)="",10^12,OFFSET(CRONOPLE!$F$14,$M117,AO$13))))</f>
        <v>3</v>
      </c>
      <c r="AP117" s="215">
        <f ca="1">IF($D117&lt;&gt;"Serviço",0,IF(AND(AUTOEVENTO="Manual",$M117=1),0,IF(OFFSET(CRONOPLE!$F$14,$M117,AP$13)="",10^12,OFFSET(CRONOPLE!$F$14,$M117,AP$13))))</f>
        <v>1000000000000</v>
      </c>
      <c r="AQ117" s="215">
        <f ca="1">IF($D117&lt;&gt;"Serviço",0,IF(AND(AUTOEVENTO="Manual",$M117=1),0,IF(OFFSET(CRONOPLE!$F$14,$M117,AQ$13)="",10^12,OFFSET(CRONOPLE!$F$14,$M117,AQ$13))))</f>
        <v>1000000000000</v>
      </c>
      <c r="AR117" s="215">
        <f ca="1">IF($D117&lt;&gt;"Serviço",0,IF(AND(AUTOEVENTO="Manual",$M117=1),0,IF(OFFSET(CRONOPLE!$F$14,$M117,AR$13)="",10^12,OFFSET(CRONOPLE!$F$14,$M117,AR$13))))</f>
        <v>1000000000000</v>
      </c>
      <c r="AS117" s="215">
        <f ca="1">IF($D117&lt;&gt;"Serviço",0,IF(AND(AUTOEVENTO="Manual",$M117=1),0,IF(OFFSET(CRONOPLE!$F$14,$M117,AS$13)="",10^12,OFFSET(CRONOPLE!$F$14,$M117,AS$13))))</f>
        <v>1000000000000</v>
      </c>
      <c r="AT117" s="215">
        <f ca="1">IF($D117&lt;&gt;"Serviço",0,IF(AND(AUTOEVENTO="Manual",$M117=1),0,IF(OFFSET(CRONOPLE!$F$14,$M117,AT$13)="",10^12,OFFSET(CRONOPLE!$F$14,$M117,AT$13))))</f>
        <v>1000000000000</v>
      </c>
      <c r="AU117" s="215">
        <f ca="1">IF($D117&lt;&gt;"Serviço",0,IF(AND(AUTOEVENTO="Manual",$M117=1),0,IF(OFFSET(CRONOPLE!$F$14,$M117,AU$13)="",10^12,OFFSET(CRONOPLE!$F$14,$M117,AU$13))))</f>
        <v>1000000000000</v>
      </c>
      <c r="AV117" s="215">
        <f ca="1">IF($D117&lt;&gt;"Serviço",0,IF(AND(AUTOEVENTO="Manual",$M117=1),0,IF(OFFSET(CRONOPLE!$F$14,$M117,AV$13)="",10^12,OFFSET(CRONOPLE!$F$14,$M117,AV$13))))</f>
        <v>1000000000000</v>
      </c>
      <c r="AX117" s="216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6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6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6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6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6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6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6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6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6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37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5" t="str">
        <f ca="1">OFFSET(ORÇAMENTO!N$15,ROW(D118)-ROW(D$15),0)</f>
        <v>Serviço</v>
      </c>
      <c r="E118" s="205" t="str">
        <f ca="1">OFFSET(ORÇAMENTO!O$15,ROW(E118)-ROW(E$15),0)</f>
        <v>-</v>
      </c>
      <c r="F118" s="206" t="str">
        <f ca="1">OFFSET(ORÇAMENTO!R$15,ROW(F118)-ROW(F$15),0)</f>
        <v>(abra o arquivo 'Referência 05-2023.xls)</v>
      </c>
      <c r="G118" s="207" t="str">
        <f ca="1">IF($D118&lt;&gt;"Serviço","",OFFSET(ORÇAMENTO!S$15,ROW(G118)-ROW(G$15),0))</f>
        <v>-</v>
      </c>
      <c r="H118" s="151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1"/>
      <c r="K118" s="208"/>
      <c r="L118" s="209" t="s">
        <v>254</v>
      </c>
      <c r="M118" s="210">
        <f ca="1">IF($D118&lt;&gt;"Serviço","",IF(AUTOEVENTO="manual",$A118,IF(ISERROR(MATCH($A118,$A$15:OFFSET($A118,-1,0),0)),MAX($M$15:OFFSET(M118,-1,0))+1,INDEX($M$15:OFFSET(M118,-1,0),MATCH($A118,$A$15:OFFSET($A118,-1,0),0)))))</f>
        <v>5</v>
      </c>
      <c r="N118" s="211" t="str">
        <f ca="1">IF($D118&lt;&gt;"Serviço","",IF(AUTOEVENTO="Manual",IF($A118=0,"&lt;-- defina o número do agrupador",OFFSET(EVENTOS!$D$14,$A118,0)),OFFSET($F$15,$A118,0)))</f>
        <v>PINTURAS E TEXTURAS</v>
      </c>
      <c r="O118" s="212"/>
      <c r="Q118" s="212"/>
      <c r="R118" s="213"/>
      <c r="S118" s="213"/>
      <c r="T118" s="213"/>
      <c r="U118" s="213"/>
      <c r="V118" s="213"/>
      <c r="W118" s="213"/>
      <c r="X118" s="213"/>
      <c r="Y118" s="213"/>
      <c r="Z118" s="214"/>
      <c r="AB118" s="592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3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3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3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3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3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3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3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3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4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5">
        <f ca="1">IF($D118&lt;&gt;"Serviço",0,IF(AND(AUTOEVENTO="Manual",$M118=1),0,IF(OFFSET(CRONOPLE!$F$14,$M118,AM$13)="",10^12,OFFSET(CRONOPLE!$F$14,$M118,AM$13))))</f>
        <v>2</v>
      </c>
      <c r="AN118" s="215">
        <f ca="1">IF($D118&lt;&gt;"Serviço",0,IF(AND(AUTOEVENTO="Manual",$M118=1),0,IF(OFFSET(CRONOPLE!$F$14,$M118,AN$13)="",10^12,OFFSET(CRONOPLE!$F$14,$M118,AN$13))))</f>
        <v>2</v>
      </c>
      <c r="AO118" s="215">
        <f ca="1">IF($D118&lt;&gt;"Serviço",0,IF(AND(AUTOEVENTO="Manual",$M118=1),0,IF(OFFSET(CRONOPLE!$F$14,$M118,AO$13)="",10^12,OFFSET(CRONOPLE!$F$14,$M118,AO$13))))</f>
        <v>3</v>
      </c>
      <c r="AP118" s="215">
        <f ca="1">IF($D118&lt;&gt;"Serviço",0,IF(AND(AUTOEVENTO="Manual",$M118=1),0,IF(OFFSET(CRONOPLE!$F$14,$M118,AP$13)="",10^12,OFFSET(CRONOPLE!$F$14,$M118,AP$13))))</f>
        <v>1000000000000</v>
      </c>
      <c r="AQ118" s="215">
        <f ca="1">IF($D118&lt;&gt;"Serviço",0,IF(AND(AUTOEVENTO="Manual",$M118=1),0,IF(OFFSET(CRONOPLE!$F$14,$M118,AQ$13)="",10^12,OFFSET(CRONOPLE!$F$14,$M118,AQ$13))))</f>
        <v>1000000000000</v>
      </c>
      <c r="AR118" s="215">
        <f ca="1">IF($D118&lt;&gt;"Serviço",0,IF(AND(AUTOEVENTO="Manual",$M118=1),0,IF(OFFSET(CRONOPLE!$F$14,$M118,AR$13)="",10^12,OFFSET(CRONOPLE!$F$14,$M118,AR$13))))</f>
        <v>1000000000000</v>
      </c>
      <c r="AS118" s="215">
        <f ca="1">IF($D118&lt;&gt;"Serviço",0,IF(AND(AUTOEVENTO="Manual",$M118=1),0,IF(OFFSET(CRONOPLE!$F$14,$M118,AS$13)="",10^12,OFFSET(CRONOPLE!$F$14,$M118,AS$13))))</f>
        <v>1000000000000</v>
      </c>
      <c r="AT118" s="215">
        <f ca="1">IF($D118&lt;&gt;"Serviço",0,IF(AND(AUTOEVENTO="Manual",$M118=1),0,IF(OFFSET(CRONOPLE!$F$14,$M118,AT$13)="",10^12,OFFSET(CRONOPLE!$F$14,$M118,AT$13))))</f>
        <v>1000000000000</v>
      </c>
      <c r="AU118" s="215">
        <f ca="1">IF($D118&lt;&gt;"Serviço",0,IF(AND(AUTOEVENTO="Manual",$M118=1),0,IF(OFFSET(CRONOPLE!$F$14,$M118,AU$13)="",10^12,OFFSET(CRONOPLE!$F$14,$M118,AU$13))))</f>
        <v>1000000000000</v>
      </c>
      <c r="AV118" s="215">
        <f ca="1">IF($D118&lt;&gt;"Serviço",0,IF(AND(AUTOEVENTO="Manual",$M118=1),0,IF(OFFSET(CRONOPLE!$F$14,$M118,AV$13)="",10^12,OFFSET(CRONOPLE!$F$14,$M118,AV$13))))</f>
        <v>1000000000000</v>
      </c>
      <c r="AX118" s="216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6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6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6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6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6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6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6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6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6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37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5" t="str">
        <f ca="1">OFFSET(ORÇAMENTO!N$15,ROW(D119)-ROW(D$15),0)</f>
        <v>Serviço</v>
      </c>
      <c r="E119" s="205" t="str">
        <f ca="1">OFFSET(ORÇAMENTO!O$15,ROW(E119)-ROW(E$15),0)</f>
        <v>-</v>
      </c>
      <c r="F119" s="206" t="str">
        <f ca="1">OFFSET(ORÇAMENTO!R$15,ROW(F119)-ROW(F$15),0)</f>
        <v>(abra o arquivo 'Referência 05-2023.xls)</v>
      </c>
      <c r="G119" s="207" t="str">
        <f ca="1">IF($D119&lt;&gt;"Serviço","",OFFSET(ORÇAMENTO!S$15,ROW(G119)-ROW(G$15),0))</f>
        <v>-</v>
      </c>
      <c r="H119" s="151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1"/>
      <c r="K119" s="208"/>
      <c r="L119" s="209" t="s">
        <v>254</v>
      </c>
      <c r="M119" s="210">
        <f ca="1">IF($D119&lt;&gt;"Serviço","",IF(AUTOEVENTO="manual",$A119,IF(ISERROR(MATCH($A119,$A$15:OFFSET($A119,-1,0),0)),MAX($M$15:OFFSET(M119,-1,0))+1,INDEX($M$15:OFFSET(M119,-1,0),MATCH($A119,$A$15:OFFSET($A119,-1,0),0)))))</f>
        <v>5</v>
      </c>
      <c r="N119" s="211" t="str">
        <f ca="1">IF($D119&lt;&gt;"Serviço","",IF(AUTOEVENTO="Manual",IF($A119=0,"&lt;-- defina o número do agrupador",OFFSET(EVENTOS!$D$14,$A119,0)),OFFSET($F$15,$A119,0)))</f>
        <v>PINTURAS E TEXTURAS</v>
      </c>
      <c r="O119" s="212"/>
      <c r="Q119" s="212"/>
      <c r="R119" s="213"/>
      <c r="S119" s="213"/>
      <c r="T119" s="213"/>
      <c r="U119" s="213"/>
      <c r="V119" s="213"/>
      <c r="W119" s="213"/>
      <c r="X119" s="213"/>
      <c r="Y119" s="213"/>
      <c r="Z119" s="214"/>
      <c r="AB119" s="592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3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3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3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3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3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3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3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3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4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5">
        <f ca="1">IF($D119&lt;&gt;"Serviço",0,IF(AND(AUTOEVENTO="Manual",$M119=1),0,IF(OFFSET(CRONOPLE!$F$14,$M119,AM$13)="",10^12,OFFSET(CRONOPLE!$F$14,$M119,AM$13))))</f>
        <v>2</v>
      </c>
      <c r="AN119" s="215">
        <f ca="1">IF($D119&lt;&gt;"Serviço",0,IF(AND(AUTOEVENTO="Manual",$M119=1),0,IF(OFFSET(CRONOPLE!$F$14,$M119,AN$13)="",10^12,OFFSET(CRONOPLE!$F$14,$M119,AN$13))))</f>
        <v>2</v>
      </c>
      <c r="AO119" s="215">
        <f ca="1">IF($D119&lt;&gt;"Serviço",0,IF(AND(AUTOEVENTO="Manual",$M119=1),0,IF(OFFSET(CRONOPLE!$F$14,$M119,AO$13)="",10^12,OFFSET(CRONOPLE!$F$14,$M119,AO$13))))</f>
        <v>3</v>
      </c>
      <c r="AP119" s="215">
        <f ca="1">IF($D119&lt;&gt;"Serviço",0,IF(AND(AUTOEVENTO="Manual",$M119=1),0,IF(OFFSET(CRONOPLE!$F$14,$M119,AP$13)="",10^12,OFFSET(CRONOPLE!$F$14,$M119,AP$13))))</f>
        <v>1000000000000</v>
      </c>
      <c r="AQ119" s="215">
        <f ca="1">IF($D119&lt;&gt;"Serviço",0,IF(AND(AUTOEVENTO="Manual",$M119=1),0,IF(OFFSET(CRONOPLE!$F$14,$M119,AQ$13)="",10^12,OFFSET(CRONOPLE!$F$14,$M119,AQ$13))))</f>
        <v>1000000000000</v>
      </c>
      <c r="AR119" s="215">
        <f ca="1">IF($D119&lt;&gt;"Serviço",0,IF(AND(AUTOEVENTO="Manual",$M119=1),0,IF(OFFSET(CRONOPLE!$F$14,$M119,AR$13)="",10^12,OFFSET(CRONOPLE!$F$14,$M119,AR$13))))</f>
        <v>1000000000000</v>
      </c>
      <c r="AS119" s="215">
        <f ca="1">IF($D119&lt;&gt;"Serviço",0,IF(AND(AUTOEVENTO="Manual",$M119=1),0,IF(OFFSET(CRONOPLE!$F$14,$M119,AS$13)="",10^12,OFFSET(CRONOPLE!$F$14,$M119,AS$13))))</f>
        <v>1000000000000</v>
      </c>
      <c r="AT119" s="215">
        <f ca="1">IF($D119&lt;&gt;"Serviço",0,IF(AND(AUTOEVENTO="Manual",$M119=1),0,IF(OFFSET(CRONOPLE!$F$14,$M119,AT$13)="",10^12,OFFSET(CRONOPLE!$F$14,$M119,AT$13))))</f>
        <v>1000000000000</v>
      </c>
      <c r="AU119" s="215">
        <f ca="1">IF($D119&lt;&gt;"Serviço",0,IF(AND(AUTOEVENTO="Manual",$M119=1),0,IF(OFFSET(CRONOPLE!$F$14,$M119,AU$13)="",10^12,OFFSET(CRONOPLE!$F$14,$M119,AU$13))))</f>
        <v>1000000000000</v>
      </c>
      <c r="AV119" s="215">
        <f ca="1">IF($D119&lt;&gt;"Serviço",0,IF(AND(AUTOEVENTO="Manual",$M119=1),0,IF(OFFSET(CRONOPLE!$F$14,$M119,AV$13)="",10^12,OFFSET(CRONOPLE!$F$14,$M119,AV$13))))</f>
        <v>1000000000000</v>
      </c>
      <c r="AX119" s="216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6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6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6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6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6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6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6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6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6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37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5" t="str">
        <f ca="1">OFFSET(ORÇAMENTO!N$15,ROW(D120)-ROW(D$15),0)</f>
        <v>Serviço</v>
      </c>
      <c r="E120" s="205" t="str">
        <f ca="1">OFFSET(ORÇAMENTO!O$15,ROW(E120)-ROW(E$15),0)</f>
        <v>-</v>
      </c>
      <c r="F120" s="206" t="str">
        <f ca="1">OFFSET(ORÇAMENTO!R$15,ROW(F120)-ROW(F$15),0)</f>
        <v>(abra o arquivo 'Referência 05-2023.xls)</v>
      </c>
      <c r="G120" s="207" t="str">
        <f ca="1">IF($D120&lt;&gt;"Serviço","",OFFSET(ORÇAMENTO!S$15,ROW(G120)-ROW(G$15),0))</f>
        <v>-</v>
      </c>
      <c r="H120" s="151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1"/>
      <c r="K120" s="208"/>
      <c r="L120" s="209" t="s">
        <v>254</v>
      </c>
      <c r="M120" s="210">
        <f ca="1">IF($D120&lt;&gt;"Serviço","",IF(AUTOEVENTO="manual",$A120,IF(ISERROR(MATCH($A120,$A$15:OFFSET($A120,-1,0),0)),MAX($M$15:OFFSET(M120,-1,0))+1,INDEX($M$15:OFFSET(M120,-1,0),MATCH($A120,$A$15:OFFSET($A120,-1,0),0)))))</f>
        <v>5</v>
      </c>
      <c r="N120" s="211" t="str">
        <f ca="1">IF($D120&lt;&gt;"Serviço","",IF(AUTOEVENTO="Manual",IF($A120=0,"&lt;-- defina o número do agrupador",OFFSET(EVENTOS!$D$14,$A120,0)),OFFSET($F$15,$A120,0)))</f>
        <v>PINTURAS E TEXTURAS</v>
      </c>
      <c r="O120" s="212"/>
      <c r="Q120" s="212"/>
      <c r="R120" s="213"/>
      <c r="S120" s="213"/>
      <c r="T120" s="213"/>
      <c r="U120" s="213"/>
      <c r="V120" s="213"/>
      <c r="W120" s="213"/>
      <c r="X120" s="213"/>
      <c r="Y120" s="213"/>
      <c r="Z120" s="214"/>
      <c r="AB120" s="592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3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3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3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3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3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3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3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3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4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5">
        <f ca="1">IF($D120&lt;&gt;"Serviço",0,IF(AND(AUTOEVENTO="Manual",$M120=1),0,IF(OFFSET(CRONOPLE!$F$14,$M120,AM$13)="",10^12,OFFSET(CRONOPLE!$F$14,$M120,AM$13))))</f>
        <v>2</v>
      </c>
      <c r="AN120" s="215">
        <f ca="1">IF($D120&lt;&gt;"Serviço",0,IF(AND(AUTOEVENTO="Manual",$M120=1),0,IF(OFFSET(CRONOPLE!$F$14,$M120,AN$13)="",10^12,OFFSET(CRONOPLE!$F$14,$M120,AN$13))))</f>
        <v>2</v>
      </c>
      <c r="AO120" s="215">
        <f ca="1">IF($D120&lt;&gt;"Serviço",0,IF(AND(AUTOEVENTO="Manual",$M120=1),0,IF(OFFSET(CRONOPLE!$F$14,$M120,AO$13)="",10^12,OFFSET(CRONOPLE!$F$14,$M120,AO$13))))</f>
        <v>3</v>
      </c>
      <c r="AP120" s="215">
        <f ca="1">IF($D120&lt;&gt;"Serviço",0,IF(AND(AUTOEVENTO="Manual",$M120=1),0,IF(OFFSET(CRONOPLE!$F$14,$M120,AP$13)="",10^12,OFFSET(CRONOPLE!$F$14,$M120,AP$13))))</f>
        <v>1000000000000</v>
      </c>
      <c r="AQ120" s="215">
        <f ca="1">IF($D120&lt;&gt;"Serviço",0,IF(AND(AUTOEVENTO="Manual",$M120=1),0,IF(OFFSET(CRONOPLE!$F$14,$M120,AQ$13)="",10^12,OFFSET(CRONOPLE!$F$14,$M120,AQ$13))))</f>
        <v>1000000000000</v>
      </c>
      <c r="AR120" s="215">
        <f ca="1">IF($D120&lt;&gt;"Serviço",0,IF(AND(AUTOEVENTO="Manual",$M120=1),0,IF(OFFSET(CRONOPLE!$F$14,$M120,AR$13)="",10^12,OFFSET(CRONOPLE!$F$14,$M120,AR$13))))</f>
        <v>1000000000000</v>
      </c>
      <c r="AS120" s="215">
        <f ca="1">IF($D120&lt;&gt;"Serviço",0,IF(AND(AUTOEVENTO="Manual",$M120=1),0,IF(OFFSET(CRONOPLE!$F$14,$M120,AS$13)="",10^12,OFFSET(CRONOPLE!$F$14,$M120,AS$13))))</f>
        <v>1000000000000</v>
      </c>
      <c r="AT120" s="215">
        <f ca="1">IF($D120&lt;&gt;"Serviço",0,IF(AND(AUTOEVENTO="Manual",$M120=1),0,IF(OFFSET(CRONOPLE!$F$14,$M120,AT$13)="",10^12,OFFSET(CRONOPLE!$F$14,$M120,AT$13))))</f>
        <v>1000000000000</v>
      </c>
      <c r="AU120" s="215">
        <f ca="1">IF($D120&lt;&gt;"Serviço",0,IF(AND(AUTOEVENTO="Manual",$M120=1),0,IF(OFFSET(CRONOPLE!$F$14,$M120,AU$13)="",10^12,OFFSET(CRONOPLE!$F$14,$M120,AU$13))))</f>
        <v>1000000000000</v>
      </c>
      <c r="AV120" s="215">
        <f ca="1">IF($D120&lt;&gt;"Serviço",0,IF(AND(AUTOEVENTO="Manual",$M120=1),0,IF(OFFSET(CRONOPLE!$F$14,$M120,AV$13)="",10^12,OFFSET(CRONOPLE!$F$14,$M120,AV$13))))</f>
        <v>1000000000000</v>
      </c>
      <c r="AX120" s="216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6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6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6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6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6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6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6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6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6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37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5" t="str">
        <f ca="1">OFFSET(ORÇAMENTO!N$15,ROW(D121)-ROW(D$15),0)</f>
        <v>Serviço</v>
      </c>
      <c r="E121" s="205" t="str">
        <f ca="1">OFFSET(ORÇAMENTO!O$15,ROW(E121)-ROW(E$15),0)</f>
        <v>-</v>
      </c>
      <c r="F121" s="206" t="str">
        <f ca="1">OFFSET(ORÇAMENTO!R$15,ROW(F121)-ROW(F$15),0)</f>
        <v>(abra o arquivo 'Referência 05-2023.xls)</v>
      </c>
      <c r="G121" s="207" t="str">
        <f ca="1">IF($D121&lt;&gt;"Serviço","",OFFSET(ORÇAMENTO!S$15,ROW(G121)-ROW(G$15),0))</f>
        <v>-</v>
      </c>
      <c r="H121" s="151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1"/>
      <c r="K121" s="208"/>
      <c r="L121" s="209" t="s">
        <v>254</v>
      </c>
      <c r="M121" s="210">
        <f ca="1">IF($D121&lt;&gt;"Serviço","",IF(AUTOEVENTO="manual",$A121,IF(ISERROR(MATCH($A121,$A$15:OFFSET($A121,-1,0),0)),MAX($M$15:OFFSET(M121,-1,0))+1,INDEX($M$15:OFFSET(M121,-1,0),MATCH($A121,$A$15:OFFSET($A121,-1,0),0)))))</f>
        <v>5</v>
      </c>
      <c r="N121" s="211" t="str">
        <f ca="1">IF($D121&lt;&gt;"Serviço","",IF(AUTOEVENTO="Manual",IF($A121=0,"&lt;-- defina o número do agrupador",OFFSET(EVENTOS!$D$14,$A121,0)),OFFSET($F$15,$A121,0)))</f>
        <v>PINTURAS E TEXTURAS</v>
      </c>
      <c r="O121" s="212"/>
      <c r="Q121" s="212"/>
      <c r="R121" s="213"/>
      <c r="S121" s="213"/>
      <c r="T121" s="213"/>
      <c r="U121" s="213"/>
      <c r="V121" s="213"/>
      <c r="W121" s="213"/>
      <c r="X121" s="213"/>
      <c r="Y121" s="213"/>
      <c r="Z121" s="214"/>
      <c r="AB121" s="592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3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3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3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3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3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3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3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3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4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5">
        <f ca="1">IF($D121&lt;&gt;"Serviço",0,IF(AND(AUTOEVENTO="Manual",$M121=1),0,IF(OFFSET(CRONOPLE!$F$14,$M121,AM$13)="",10^12,OFFSET(CRONOPLE!$F$14,$M121,AM$13))))</f>
        <v>2</v>
      </c>
      <c r="AN121" s="215">
        <f ca="1">IF($D121&lt;&gt;"Serviço",0,IF(AND(AUTOEVENTO="Manual",$M121=1),0,IF(OFFSET(CRONOPLE!$F$14,$M121,AN$13)="",10^12,OFFSET(CRONOPLE!$F$14,$M121,AN$13))))</f>
        <v>2</v>
      </c>
      <c r="AO121" s="215">
        <f ca="1">IF($D121&lt;&gt;"Serviço",0,IF(AND(AUTOEVENTO="Manual",$M121=1),0,IF(OFFSET(CRONOPLE!$F$14,$M121,AO$13)="",10^12,OFFSET(CRONOPLE!$F$14,$M121,AO$13))))</f>
        <v>3</v>
      </c>
      <c r="AP121" s="215">
        <f ca="1">IF($D121&lt;&gt;"Serviço",0,IF(AND(AUTOEVENTO="Manual",$M121=1),0,IF(OFFSET(CRONOPLE!$F$14,$M121,AP$13)="",10^12,OFFSET(CRONOPLE!$F$14,$M121,AP$13))))</f>
        <v>1000000000000</v>
      </c>
      <c r="AQ121" s="215">
        <f ca="1">IF($D121&lt;&gt;"Serviço",0,IF(AND(AUTOEVENTO="Manual",$M121=1),0,IF(OFFSET(CRONOPLE!$F$14,$M121,AQ$13)="",10^12,OFFSET(CRONOPLE!$F$14,$M121,AQ$13))))</f>
        <v>1000000000000</v>
      </c>
      <c r="AR121" s="215">
        <f ca="1">IF($D121&lt;&gt;"Serviço",0,IF(AND(AUTOEVENTO="Manual",$M121=1),0,IF(OFFSET(CRONOPLE!$F$14,$M121,AR$13)="",10^12,OFFSET(CRONOPLE!$F$14,$M121,AR$13))))</f>
        <v>1000000000000</v>
      </c>
      <c r="AS121" s="215">
        <f ca="1">IF($D121&lt;&gt;"Serviço",0,IF(AND(AUTOEVENTO="Manual",$M121=1),0,IF(OFFSET(CRONOPLE!$F$14,$M121,AS$13)="",10^12,OFFSET(CRONOPLE!$F$14,$M121,AS$13))))</f>
        <v>1000000000000</v>
      </c>
      <c r="AT121" s="215">
        <f ca="1">IF($D121&lt;&gt;"Serviço",0,IF(AND(AUTOEVENTO="Manual",$M121=1),0,IF(OFFSET(CRONOPLE!$F$14,$M121,AT$13)="",10^12,OFFSET(CRONOPLE!$F$14,$M121,AT$13))))</f>
        <v>1000000000000</v>
      </c>
      <c r="AU121" s="215">
        <f ca="1">IF($D121&lt;&gt;"Serviço",0,IF(AND(AUTOEVENTO="Manual",$M121=1),0,IF(OFFSET(CRONOPLE!$F$14,$M121,AU$13)="",10^12,OFFSET(CRONOPLE!$F$14,$M121,AU$13))))</f>
        <v>1000000000000</v>
      </c>
      <c r="AV121" s="215">
        <f ca="1">IF($D121&lt;&gt;"Serviço",0,IF(AND(AUTOEVENTO="Manual",$M121=1),0,IF(OFFSET(CRONOPLE!$F$14,$M121,AV$13)="",10^12,OFFSET(CRONOPLE!$F$14,$M121,AV$13))))</f>
        <v>1000000000000</v>
      </c>
      <c r="AX121" s="216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6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6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6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6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6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6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6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6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6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37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5" t="str">
        <f ca="1">OFFSET(ORÇAMENTO!N$15,ROW(D122)-ROW(D$15),0)</f>
        <v>Serviço</v>
      </c>
      <c r="E122" s="205" t="str">
        <f ca="1">OFFSET(ORÇAMENTO!O$15,ROW(E122)-ROW(E$15),0)</f>
        <v>-</v>
      </c>
      <c r="F122" s="206" t="str">
        <f ca="1">OFFSET(ORÇAMENTO!R$15,ROW(F122)-ROW(F$15),0)</f>
        <v>(abra o arquivo 'Referência 05-2023.xls)</v>
      </c>
      <c r="G122" s="207" t="str">
        <f ca="1">IF($D122&lt;&gt;"Serviço","",OFFSET(ORÇAMENTO!S$15,ROW(G122)-ROW(G$15),0))</f>
        <v>-</v>
      </c>
      <c r="H122" s="151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1"/>
      <c r="K122" s="208"/>
      <c r="L122" s="209" t="s">
        <v>254</v>
      </c>
      <c r="M122" s="210">
        <f ca="1">IF($D122&lt;&gt;"Serviço","",IF(AUTOEVENTO="manual",$A122,IF(ISERROR(MATCH($A122,$A$15:OFFSET($A122,-1,0),0)),MAX($M$15:OFFSET(M122,-1,0))+1,INDEX($M$15:OFFSET(M122,-1,0),MATCH($A122,$A$15:OFFSET($A122,-1,0),0)))))</f>
        <v>5</v>
      </c>
      <c r="N122" s="211" t="str">
        <f ca="1">IF($D122&lt;&gt;"Serviço","",IF(AUTOEVENTO="Manual",IF($A122=0,"&lt;-- defina o número do agrupador",OFFSET(EVENTOS!$D$14,$A122,0)),OFFSET($F$15,$A122,0)))</f>
        <v>PINTURAS E TEXTURAS</v>
      </c>
      <c r="O122" s="212"/>
      <c r="Q122" s="212"/>
      <c r="R122" s="213"/>
      <c r="S122" s="213"/>
      <c r="T122" s="213"/>
      <c r="U122" s="213"/>
      <c r="V122" s="213"/>
      <c r="W122" s="213"/>
      <c r="X122" s="213"/>
      <c r="Y122" s="213"/>
      <c r="Z122" s="214"/>
      <c r="AB122" s="592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3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3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3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3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3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3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3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3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4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5">
        <f ca="1">IF($D122&lt;&gt;"Serviço",0,IF(AND(AUTOEVENTO="Manual",$M122=1),0,IF(OFFSET(CRONOPLE!$F$14,$M122,AM$13)="",10^12,OFFSET(CRONOPLE!$F$14,$M122,AM$13))))</f>
        <v>2</v>
      </c>
      <c r="AN122" s="215">
        <f ca="1">IF($D122&lt;&gt;"Serviço",0,IF(AND(AUTOEVENTO="Manual",$M122=1),0,IF(OFFSET(CRONOPLE!$F$14,$M122,AN$13)="",10^12,OFFSET(CRONOPLE!$F$14,$M122,AN$13))))</f>
        <v>2</v>
      </c>
      <c r="AO122" s="215">
        <f ca="1">IF($D122&lt;&gt;"Serviço",0,IF(AND(AUTOEVENTO="Manual",$M122=1),0,IF(OFFSET(CRONOPLE!$F$14,$M122,AO$13)="",10^12,OFFSET(CRONOPLE!$F$14,$M122,AO$13))))</f>
        <v>3</v>
      </c>
      <c r="AP122" s="215">
        <f ca="1">IF($D122&lt;&gt;"Serviço",0,IF(AND(AUTOEVENTO="Manual",$M122=1),0,IF(OFFSET(CRONOPLE!$F$14,$M122,AP$13)="",10^12,OFFSET(CRONOPLE!$F$14,$M122,AP$13))))</f>
        <v>1000000000000</v>
      </c>
      <c r="AQ122" s="215">
        <f ca="1">IF($D122&lt;&gt;"Serviço",0,IF(AND(AUTOEVENTO="Manual",$M122=1),0,IF(OFFSET(CRONOPLE!$F$14,$M122,AQ$13)="",10^12,OFFSET(CRONOPLE!$F$14,$M122,AQ$13))))</f>
        <v>1000000000000</v>
      </c>
      <c r="AR122" s="215">
        <f ca="1">IF($D122&lt;&gt;"Serviço",0,IF(AND(AUTOEVENTO="Manual",$M122=1),0,IF(OFFSET(CRONOPLE!$F$14,$M122,AR$13)="",10^12,OFFSET(CRONOPLE!$F$14,$M122,AR$13))))</f>
        <v>1000000000000</v>
      </c>
      <c r="AS122" s="215">
        <f ca="1">IF($D122&lt;&gt;"Serviço",0,IF(AND(AUTOEVENTO="Manual",$M122=1),0,IF(OFFSET(CRONOPLE!$F$14,$M122,AS$13)="",10^12,OFFSET(CRONOPLE!$F$14,$M122,AS$13))))</f>
        <v>1000000000000</v>
      </c>
      <c r="AT122" s="215">
        <f ca="1">IF($D122&lt;&gt;"Serviço",0,IF(AND(AUTOEVENTO="Manual",$M122=1),0,IF(OFFSET(CRONOPLE!$F$14,$M122,AT$13)="",10^12,OFFSET(CRONOPLE!$F$14,$M122,AT$13))))</f>
        <v>1000000000000</v>
      </c>
      <c r="AU122" s="215">
        <f ca="1">IF($D122&lt;&gt;"Serviço",0,IF(AND(AUTOEVENTO="Manual",$M122=1),0,IF(OFFSET(CRONOPLE!$F$14,$M122,AU$13)="",10^12,OFFSET(CRONOPLE!$F$14,$M122,AU$13))))</f>
        <v>1000000000000</v>
      </c>
      <c r="AV122" s="215">
        <f ca="1">IF($D122&lt;&gt;"Serviço",0,IF(AND(AUTOEVENTO="Manual",$M122=1),0,IF(OFFSET(CRONOPLE!$F$14,$M122,AV$13)="",10^12,OFFSET(CRONOPLE!$F$14,$M122,AV$13))))</f>
        <v>1000000000000</v>
      </c>
      <c r="AX122" s="216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6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6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6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6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6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6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6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6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6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37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5" t="str">
        <f ca="1">OFFSET(ORÇAMENTO!N$15,ROW(D123)-ROW(D$15),0)</f>
        <v>Serviço</v>
      </c>
      <c r="E123" s="205" t="str">
        <f ca="1">OFFSET(ORÇAMENTO!O$15,ROW(E123)-ROW(E$15),0)</f>
        <v>-</v>
      </c>
      <c r="F123" s="206" t="str">
        <f ca="1">OFFSET(ORÇAMENTO!R$15,ROW(F123)-ROW(F$15),0)</f>
        <v>(abra o arquivo 'Referência 05-2023.xls)</v>
      </c>
      <c r="G123" s="207" t="str">
        <f ca="1">IF($D123&lt;&gt;"Serviço","",OFFSET(ORÇAMENTO!S$15,ROW(G123)-ROW(G$15),0))</f>
        <v>-</v>
      </c>
      <c r="H123" s="151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1"/>
      <c r="K123" s="208"/>
      <c r="L123" s="209" t="s">
        <v>254</v>
      </c>
      <c r="M123" s="210">
        <f ca="1">IF($D123&lt;&gt;"Serviço","",IF(AUTOEVENTO="manual",$A123,IF(ISERROR(MATCH($A123,$A$15:OFFSET($A123,-1,0),0)),MAX($M$15:OFFSET(M123,-1,0))+1,INDEX($M$15:OFFSET(M123,-1,0),MATCH($A123,$A$15:OFFSET($A123,-1,0),0)))))</f>
        <v>5</v>
      </c>
      <c r="N123" s="211" t="str">
        <f ca="1">IF($D123&lt;&gt;"Serviço","",IF(AUTOEVENTO="Manual",IF($A123=0,"&lt;-- defina o número do agrupador",OFFSET(EVENTOS!$D$14,$A123,0)),OFFSET($F$15,$A123,0)))</f>
        <v>PINTURAS E TEXTURAS</v>
      </c>
      <c r="O123" s="212"/>
      <c r="Q123" s="212"/>
      <c r="R123" s="213"/>
      <c r="S123" s="213"/>
      <c r="T123" s="213"/>
      <c r="U123" s="213"/>
      <c r="V123" s="213"/>
      <c r="W123" s="213"/>
      <c r="X123" s="213"/>
      <c r="Y123" s="213"/>
      <c r="Z123" s="214"/>
      <c r="AB123" s="592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3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3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3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3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3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3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3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3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4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5">
        <f ca="1">IF($D123&lt;&gt;"Serviço",0,IF(AND(AUTOEVENTO="Manual",$M123=1),0,IF(OFFSET(CRONOPLE!$F$14,$M123,AM$13)="",10^12,OFFSET(CRONOPLE!$F$14,$M123,AM$13))))</f>
        <v>2</v>
      </c>
      <c r="AN123" s="215">
        <f ca="1">IF($D123&lt;&gt;"Serviço",0,IF(AND(AUTOEVENTO="Manual",$M123=1),0,IF(OFFSET(CRONOPLE!$F$14,$M123,AN$13)="",10^12,OFFSET(CRONOPLE!$F$14,$M123,AN$13))))</f>
        <v>2</v>
      </c>
      <c r="AO123" s="215">
        <f ca="1">IF($D123&lt;&gt;"Serviço",0,IF(AND(AUTOEVENTO="Manual",$M123=1),0,IF(OFFSET(CRONOPLE!$F$14,$M123,AO$13)="",10^12,OFFSET(CRONOPLE!$F$14,$M123,AO$13))))</f>
        <v>3</v>
      </c>
      <c r="AP123" s="215">
        <f ca="1">IF($D123&lt;&gt;"Serviço",0,IF(AND(AUTOEVENTO="Manual",$M123=1),0,IF(OFFSET(CRONOPLE!$F$14,$M123,AP$13)="",10^12,OFFSET(CRONOPLE!$F$14,$M123,AP$13))))</f>
        <v>1000000000000</v>
      </c>
      <c r="AQ123" s="215">
        <f ca="1">IF($D123&lt;&gt;"Serviço",0,IF(AND(AUTOEVENTO="Manual",$M123=1),0,IF(OFFSET(CRONOPLE!$F$14,$M123,AQ$13)="",10^12,OFFSET(CRONOPLE!$F$14,$M123,AQ$13))))</f>
        <v>1000000000000</v>
      </c>
      <c r="AR123" s="215">
        <f ca="1">IF($D123&lt;&gt;"Serviço",0,IF(AND(AUTOEVENTO="Manual",$M123=1),0,IF(OFFSET(CRONOPLE!$F$14,$M123,AR$13)="",10^12,OFFSET(CRONOPLE!$F$14,$M123,AR$13))))</f>
        <v>1000000000000</v>
      </c>
      <c r="AS123" s="215">
        <f ca="1">IF($D123&lt;&gt;"Serviço",0,IF(AND(AUTOEVENTO="Manual",$M123=1),0,IF(OFFSET(CRONOPLE!$F$14,$M123,AS$13)="",10^12,OFFSET(CRONOPLE!$F$14,$M123,AS$13))))</f>
        <v>1000000000000</v>
      </c>
      <c r="AT123" s="215">
        <f ca="1">IF($D123&lt;&gt;"Serviço",0,IF(AND(AUTOEVENTO="Manual",$M123=1),0,IF(OFFSET(CRONOPLE!$F$14,$M123,AT$13)="",10^12,OFFSET(CRONOPLE!$F$14,$M123,AT$13))))</f>
        <v>1000000000000</v>
      </c>
      <c r="AU123" s="215">
        <f ca="1">IF($D123&lt;&gt;"Serviço",0,IF(AND(AUTOEVENTO="Manual",$M123=1),0,IF(OFFSET(CRONOPLE!$F$14,$M123,AU$13)="",10^12,OFFSET(CRONOPLE!$F$14,$M123,AU$13))))</f>
        <v>1000000000000</v>
      </c>
      <c r="AV123" s="215">
        <f ca="1">IF($D123&lt;&gt;"Serviço",0,IF(AND(AUTOEVENTO="Manual",$M123=1),0,IF(OFFSET(CRONOPLE!$F$14,$M123,AV$13)="",10^12,OFFSET(CRONOPLE!$F$14,$M123,AV$13))))</f>
        <v>1000000000000</v>
      </c>
      <c r="AX123" s="216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6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6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6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6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6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6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6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6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6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37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5" t="str">
        <f ca="1">OFFSET(ORÇAMENTO!N$15,ROW(D124)-ROW(D$15),0)</f>
        <v>Serviço</v>
      </c>
      <c r="E124" s="205" t="str">
        <f ca="1">OFFSET(ORÇAMENTO!O$15,ROW(E124)-ROW(E$15),0)</f>
        <v>-</v>
      </c>
      <c r="F124" s="206" t="str">
        <f ca="1">OFFSET(ORÇAMENTO!R$15,ROW(F124)-ROW(F$15),0)</f>
        <v>(abra o arquivo 'Referência 05-2023.xls)</v>
      </c>
      <c r="G124" s="207" t="str">
        <f ca="1">IF($D124&lt;&gt;"Serviço","",OFFSET(ORÇAMENTO!S$15,ROW(G124)-ROW(G$15),0))</f>
        <v>-</v>
      </c>
      <c r="H124" s="151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1"/>
      <c r="K124" s="208"/>
      <c r="L124" s="209" t="s">
        <v>254</v>
      </c>
      <c r="M124" s="210">
        <f ca="1">IF($D124&lt;&gt;"Serviço","",IF(AUTOEVENTO="manual",$A124,IF(ISERROR(MATCH($A124,$A$15:OFFSET($A124,-1,0),0)),MAX($M$15:OFFSET(M124,-1,0))+1,INDEX($M$15:OFFSET(M124,-1,0),MATCH($A124,$A$15:OFFSET($A124,-1,0),0)))))</f>
        <v>5</v>
      </c>
      <c r="N124" s="211" t="str">
        <f ca="1">IF($D124&lt;&gt;"Serviço","",IF(AUTOEVENTO="Manual",IF($A124=0,"&lt;-- defina o número do agrupador",OFFSET(EVENTOS!$D$14,$A124,0)),OFFSET($F$15,$A124,0)))</f>
        <v>PINTURAS E TEXTURAS</v>
      </c>
      <c r="O124" s="212"/>
      <c r="Q124" s="212"/>
      <c r="R124" s="213"/>
      <c r="S124" s="213"/>
      <c r="T124" s="213"/>
      <c r="U124" s="213"/>
      <c r="V124" s="213"/>
      <c r="W124" s="213"/>
      <c r="X124" s="213"/>
      <c r="Y124" s="213"/>
      <c r="Z124" s="214"/>
      <c r="AB124" s="592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3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3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3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3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3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3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3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3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4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5">
        <f ca="1">IF($D124&lt;&gt;"Serviço",0,IF(AND(AUTOEVENTO="Manual",$M124=1),0,IF(OFFSET(CRONOPLE!$F$14,$M124,AM$13)="",10^12,OFFSET(CRONOPLE!$F$14,$M124,AM$13))))</f>
        <v>2</v>
      </c>
      <c r="AN124" s="215">
        <f ca="1">IF($D124&lt;&gt;"Serviço",0,IF(AND(AUTOEVENTO="Manual",$M124=1),0,IF(OFFSET(CRONOPLE!$F$14,$M124,AN$13)="",10^12,OFFSET(CRONOPLE!$F$14,$M124,AN$13))))</f>
        <v>2</v>
      </c>
      <c r="AO124" s="215">
        <f ca="1">IF($D124&lt;&gt;"Serviço",0,IF(AND(AUTOEVENTO="Manual",$M124=1),0,IF(OFFSET(CRONOPLE!$F$14,$M124,AO$13)="",10^12,OFFSET(CRONOPLE!$F$14,$M124,AO$13))))</f>
        <v>3</v>
      </c>
      <c r="AP124" s="215">
        <f ca="1">IF($D124&lt;&gt;"Serviço",0,IF(AND(AUTOEVENTO="Manual",$M124=1),0,IF(OFFSET(CRONOPLE!$F$14,$M124,AP$13)="",10^12,OFFSET(CRONOPLE!$F$14,$M124,AP$13))))</f>
        <v>1000000000000</v>
      </c>
      <c r="AQ124" s="215">
        <f ca="1">IF($D124&lt;&gt;"Serviço",0,IF(AND(AUTOEVENTO="Manual",$M124=1),0,IF(OFFSET(CRONOPLE!$F$14,$M124,AQ$13)="",10^12,OFFSET(CRONOPLE!$F$14,$M124,AQ$13))))</f>
        <v>1000000000000</v>
      </c>
      <c r="AR124" s="215">
        <f ca="1">IF($D124&lt;&gt;"Serviço",0,IF(AND(AUTOEVENTO="Manual",$M124=1),0,IF(OFFSET(CRONOPLE!$F$14,$M124,AR$13)="",10^12,OFFSET(CRONOPLE!$F$14,$M124,AR$13))))</f>
        <v>1000000000000</v>
      </c>
      <c r="AS124" s="215">
        <f ca="1">IF($D124&lt;&gt;"Serviço",0,IF(AND(AUTOEVENTO="Manual",$M124=1),0,IF(OFFSET(CRONOPLE!$F$14,$M124,AS$13)="",10^12,OFFSET(CRONOPLE!$F$14,$M124,AS$13))))</f>
        <v>1000000000000</v>
      </c>
      <c r="AT124" s="215">
        <f ca="1">IF($D124&lt;&gt;"Serviço",0,IF(AND(AUTOEVENTO="Manual",$M124=1),0,IF(OFFSET(CRONOPLE!$F$14,$M124,AT$13)="",10^12,OFFSET(CRONOPLE!$F$14,$M124,AT$13))))</f>
        <v>1000000000000</v>
      </c>
      <c r="AU124" s="215">
        <f ca="1">IF($D124&lt;&gt;"Serviço",0,IF(AND(AUTOEVENTO="Manual",$M124=1),0,IF(OFFSET(CRONOPLE!$F$14,$M124,AU$13)="",10^12,OFFSET(CRONOPLE!$F$14,$M124,AU$13))))</f>
        <v>1000000000000</v>
      </c>
      <c r="AV124" s="215">
        <f ca="1">IF($D124&lt;&gt;"Serviço",0,IF(AND(AUTOEVENTO="Manual",$M124=1),0,IF(OFFSET(CRONOPLE!$F$14,$M124,AV$13)="",10^12,OFFSET(CRONOPLE!$F$14,$M124,AV$13))))</f>
        <v>1000000000000</v>
      </c>
      <c r="AX124" s="216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6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6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6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6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6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6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6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6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6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37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5" t="str">
        <f ca="1">OFFSET(ORÇAMENTO!N$15,ROW(D125)-ROW(D$15),0)</f>
        <v>Serviço</v>
      </c>
      <c r="E125" s="205" t="str">
        <f ca="1">OFFSET(ORÇAMENTO!O$15,ROW(E125)-ROW(E$15),0)</f>
        <v>-</v>
      </c>
      <c r="F125" s="206" t="str">
        <f ca="1">OFFSET(ORÇAMENTO!R$15,ROW(F125)-ROW(F$15),0)</f>
        <v>(abra o arquivo 'Referência 05-2023.xls)</v>
      </c>
      <c r="G125" s="207" t="str">
        <f ca="1">IF($D125&lt;&gt;"Serviço","",OFFSET(ORÇAMENTO!S$15,ROW(G125)-ROW(G$15),0))</f>
        <v>-</v>
      </c>
      <c r="H125" s="151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1"/>
      <c r="K125" s="208"/>
      <c r="L125" s="209" t="s">
        <v>254</v>
      </c>
      <c r="M125" s="210">
        <f ca="1">IF($D125&lt;&gt;"Serviço","",IF(AUTOEVENTO="manual",$A125,IF(ISERROR(MATCH($A125,$A$15:OFFSET($A125,-1,0),0)),MAX($M$15:OFFSET(M125,-1,0))+1,INDEX($M$15:OFFSET(M125,-1,0),MATCH($A125,$A$15:OFFSET($A125,-1,0),0)))))</f>
        <v>5</v>
      </c>
      <c r="N125" s="211" t="str">
        <f ca="1">IF($D125&lt;&gt;"Serviço","",IF(AUTOEVENTO="Manual",IF($A125=0,"&lt;-- defina o número do agrupador",OFFSET(EVENTOS!$D$14,$A125,0)),OFFSET($F$15,$A125,0)))</f>
        <v>PINTURAS E TEXTURAS</v>
      </c>
      <c r="O125" s="212"/>
      <c r="Q125" s="212"/>
      <c r="R125" s="213"/>
      <c r="S125" s="213"/>
      <c r="T125" s="213"/>
      <c r="U125" s="213"/>
      <c r="V125" s="213"/>
      <c r="W125" s="213"/>
      <c r="X125" s="213"/>
      <c r="Y125" s="213"/>
      <c r="Z125" s="214"/>
      <c r="AB125" s="592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3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3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3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3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3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3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3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3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4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5">
        <f ca="1">IF($D125&lt;&gt;"Serviço",0,IF(AND(AUTOEVENTO="Manual",$M125=1),0,IF(OFFSET(CRONOPLE!$F$14,$M125,AM$13)="",10^12,OFFSET(CRONOPLE!$F$14,$M125,AM$13))))</f>
        <v>2</v>
      </c>
      <c r="AN125" s="215">
        <f ca="1">IF($D125&lt;&gt;"Serviço",0,IF(AND(AUTOEVENTO="Manual",$M125=1),0,IF(OFFSET(CRONOPLE!$F$14,$M125,AN$13)="",10^12,OFFSET(CRONOPLE!$F$14,$M125,AN$13))))</f>
        <v>2</v>
      </c>
      <c r="AO125" s="215">
        <f ca="1">IF($D125&lt;&gt;"Serviço",0,IF(AND(AUTOEVENTO="Manual",$M125=1),0,IF(OFFSET(CRONOPLE!$F$14,$M125,AO$13)="",10^12,OFFSET(CRONOPLE!$F$14,$M125,AO$13))))</f>
        <v>3</v>
      </c>
      <c r="AP125" s="215">
        <f ca="1">IF($D125&lt;&gt;"Serviço",0,IF(AND(AUTOEVENTO="Manual",$M125=1),0,IF(OFFSET(CRONOPLE!$F$14,$M125,AP$13)="",10^12,OFFSET(CRONOPLE!$F$14,$M125,AP$13))))</f>
        <v>1000000000000</v>
      </c>
      <c r="AQ125" s="215">
        <f ca="1">IF($D125&lt;&gt;"Serviço",0,IF(AND(AUTOEVENTO="Manual",$M125=1),0,IF(OFFSET(CRONOPLE!$F$14,$M125,AQ$13)="",10^12,OFFSET(CRONOPLE!$F$14,$M125,AQ$13))))</f>
        <v>1000000000000</v>
      </c>
      <c r="AR125" s="215">
        <f ca="1">IF($D125&lt;&gt;"Serviço",0,IF(AND(AUTOEVENTO="Manual",$M125=1),0,IF(OFFSET(CRONOPLE!$F$14,$M125,AR$13)="",10^12,OFFSET(CRONOPLE!$F$14,$M125,AR$13))))</f>
        <v>1000000000000</v>
      </c>
      <c r="AS125" s="215">
        <f ca="1">IF($D125&lt;&gt;"Serviço",0,IF(AND(AUTOEVENTO="Manual",$M125=1),0,IF(OFFSET(CRONOPLE!$F$14,$M125,AS$13)="",10^12,OFFSET(CRONOPLE!$F$14,$M125,AS$13))))</f>
        <v>1000000000000</v>
      </c>
      <c r="AT125" s="215">
        <f ca="1">IF($D125&lt;&gt;"Serviço",0,IF(AND(AUTOEVENTO="Manual",$M125=1),0,IF(OFFSET(CRONOPLE!$F$14,$M125,AT$13)="",10^12,OFFSET(CRONOPLE!$F$14,$M125,AT$13))))</f>
        <v>1000000000000</v>
      </c>
      <c r="AU125" s="215">
        <f ca="1">IF($D125&lt;&gt;"Serviço",0,IF(AND(AUTOEVENTO="Manual",$M125=1),0,IF(OFFSET(CRONOPLE!$F$14,$M125,AU$13)="",10^12,OFFSET(CRONOPLE!$F$14,$M125,AU$13))))</f>
        <v>1000000000000</v>
      </c>
      <c r="AV125" s="215">
        <f ca="1">IF($D125&lt;&gt;"Serviço",0,IF(AND(AUTOEVENTO="Manual",$M125=1),0,IF(OFFSET(CRONOPLE!$F$14,$M125,AV$13)="",10^12,OFFSET(CRONOPLE!$F$14,$M125,AV$13))))</f>
        <v>1000000000000</v>
      </c>
      <c r="AX125" s="216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6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6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6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6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6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6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6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6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6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37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5" t="str">
        <f ca="1">OFFSET(ORÇAMENTO!N$15,ROW(D126)-ROW(D$15),0)</f>
        <v>Serviço</v>
      </c>
      <c r="E126" s="205" t="str">
        <f ca="1">OFFSET(ORÇAMENTO!O$15,ROW(E126)-ROW(E$15),0)</f>
        <v>-</v>
      </c>
      <c r="F126" s="206" t="str">
        <f ca="1">OFFSET(ORÇAMENTO!R$15,ROW(F126)-ROW(F$15),0)</f>
        <v>(abra o arquivo 'Referência 05-2023.xls)</v>
      </c>
      <c r="G126" s="207" t="str">
        <f ca="1">IF($D126&lt;&gt;"Serviço","",OFFSET(ORÇAMENTO!S$15,ROW(G126)-ROW(G$15),0))</f>
        <v>-</v>
      </c>
      <c r="H126" s="151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1"/>
      <c r="K126" s="208"/>
      <c r="L126" s="209" t="s">
        <v>254</v>
      </c>
      <c r="M126" s="210">
        <f ca="1">IF($D126&lt;&gt;"Serviço","",IF(AUTOEVENTO="manual",$A126,IF(ISERROR(MATCH($A126,$A$15:OFFSET($A126,-1,0),0)),MAX($M$15:OFFSET(M126,-1,0))+1,INDEX($M$15:OFFSET(M126,-1,0),MATCH($A126,$A$15:OFFSET($A126,-1,0),0)))))</f>
        <v>5</v>
      </c>
      <c r="N126" s="211" t="str">
        <f ca="1">IF($D126&lt;&gt;"Serviço","",IF(AUTOEVENTO="Manual",IF($A126=0,"&lt;-- defina o número do agrupador",OFFSET(EVENTOS!$D$14,$A126,0)),OFFSET($F$15,$A126,0)))</f>
        <v>PINTURAS E TEXTURAS</v>
      </c>
      <c r="O126" s="212"/>
      <c r="Q126" s="212"/>
      <c r="R126" s="213"/>
      <c r="S126" s="213"/>
      <c r="T126" s="213"/>
      <c r="U126" s="213"/>
      <c r="V126" s="213"/>
      <c r="W126" s="213"/>
      <c r="X126" s="213"/>
      <c r="Y126" s="213"/>
      <c r="Z126" s="214"/>
      <c r="AB126" s="592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3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3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3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3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3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3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3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3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4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5">
        <f ca="1">IF($D126&lt;&gt;"Serviço",0,IF(AND(AUTOEVENTO="Manual",$M126=1),0,IF(OFFSET(CRONOPLE!$F$14,$M126,AM$13)="",10^12,OFFSET(CRONOPLE!$F$14,$M126,AM$13))))</f>
        <v>2</v>
      </c>
      <c r="AN126" s="215">
        <f ca="1">IF($D126&lt;&gt;"Serviço",0,IF(AND(AUTOEVENTO="Manual",$M126=1),0,IF(OFFSET(CRONOPLE!$F$14,$M126,AN$13)="",10^12,OFFSET(CRONOPLE!$F$14,$M126,AN$13))))</f>
        <v>2</v>
      </c>
      <c r="AO126" s="215">
        <f ca="1">IF($D126&lt;&gt;"Serviço",0,IF(AND(AUTOEVENTO="Manual",$M126=1),0,IF(OFFSET(CRONOPLE!$F$14,$M126,AO$13)="",10^12,OFFSET(CRONOPLE!$F$14,$M126,AO$13))))</f>
        <v>3</v>
      </c>
      <c r="AP126" s="215">
        <f ca="1">IF($D126&lt;&gt;"Serviço",0,IF(AND(AUTOEVENTO="Manual",$M126=1),0,IF(OFFSET(CRONOPLE!$F$14,$M126,AP$13)="",10^12,OFFSET(CRONOPLE!$F$14,$M126,AP$13))))</f>
        <v>1000000000000</v>
      </c>
      <c r="AQ126" s="215">
        <f ca="1">IF($D126&lt;&gt;"Serviço",0,IF(AND(AUTOEVENTO="Manual",$M126=1),0,IF(OFFSET(CRONOPLE!$F$14,$M126,AQ$13)="",10^12,OFFSET(CRONOPLE!$F$14,$M126,AQ$13))))</f>
        <v>1000000000000</v>
      </c>
      <c r="AR126" s="215">
        <f ca="1">IF($D126&lt;&gt;"Serviço",0,IF(AND(AUTOEVENTO="Manual",$M126=1),0,IF(OFFSET(CRONOPLE!$F$14,$M126,AR$13)="",10^12,OFFSET(CRONOPLE!$F$14,$M126,AR$13))))</f>
        <v>1000000000000</v>
      </c>
      <c r="AS126" s="215">
        <f ca="1">IF($D126&lt;&gt;"Serviço",0,IF(AND(AUTOEVENTO="Manual",$M126=1),0,IF(OFFSET(CRONOPLE!$F$14,$M126,AS$13)="",10^12,OFFSET(CRONOPLE!$F$14,$M126,AS$13))))</f>
        <v>1000000000000</v>
      </c>
      <c r="AT126" s="215">
        <f ca="1">IF($D126&lt;&gt;"Serviço",0,IF(AND(AUTOEVENTO="Manual",$M126=1),0,IF(OFFSET(CRONOPLE!$F$14,$M126,AT$13)="",10^12,OFFSET(CRONOPLE!$F$14,$M126,AT$13))))</f>
        <v>1000000000000</v>
      </c>
      <c r="AU126" s="215">
        <f ca="1">IF($D126&lt;&gt;"Serviço",0,IF(AND(AUTOEVENTO="Manual",$M126=1),0,IF(OFFSET(CRONOPLE!$F$14,$M126,AU$13)="",10^12,OFFSET(CRONOPLE!$F$14,$M126,AU$13))))</f>
        <v>1000000000000</v>
      </c>
      <c r="AV126" s="215">
        <f ca="1">IF($D126&lt;&gt;"Serviço",0,IF(AND(AUTOEVENTO="Manual",$M126=1),0,IF(OFFSET(CRONOPLE!$F$14,$M126,AV$13)="",10^12,OFFSET(CRONOPLE!$F$14,$M126,AV$13))))</f>
        <v>1000000000000</v>
      </c>
      <c r="AX126" s="216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6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6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6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6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6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6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6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6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6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37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5" t="str">
        <f ca="1">OFFSET(ORÇAMENTO!N$15,ROW(D127)-ROW(D$15),0)</f>
        <v>Serviço</v>
      </c>
      <c r="E127" s="205" t="str">
        <f ca="1">OFFSET(ORÇAMENTO!O$15,ROW(E127)-ROW(E$15),0)</f>
        <v>-</v>
      </c>
      <c r="F127" s="206" t="str">
        <f ca="1">OFFSET(ORÇAMENTO!R$15,ROW(F127)-ROW(F$15),0)</f>
        <v>(abra o arquivo 'Referência 05-2023.xls)</v>
      </c>
      <c r="G127" s="207" t="str">
        <f ca="1">IF($D127&lt;&gt;"Serviço","",OFFSET(ORÇAMENTO!S$15,ROW(G127)-ROW(G$15),0))</f>
        <v>-</v>
      </c>
      <c r="H127" s="151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1"/>
      <c r="K127" s="208"/>
      <c r="L127" s="209" t="s">
        <v>254</v>
      </c>
      <c r="M127" s="210">
        <f ca="1">IF($D127&lt;&gt;"Serviço","",IF(AUTOEVENTO="manual",$A127,IF(ISERROR(MATCH($A127,$A$15:OFFSET($A127,-1,0),0)),MAX($M$15:OFFSET(M127,-1,0))+1,INDEX($M$15:OFFSET(M127,-1,0),MATCH($A127,$A$15:OFFSET($A127,-1,0),0)))))</f>
        <v>5</v>
      </c>
      <c r="N127" s="211" t="str">
        <f ca="1">IF($D127&lt;&gt;"Serviço","",IF(AUTOEVENTO="Manual",IF($A127=0,"&lt;-- defina o número do agrupador",OFFSET(EVENTOS!$D$14,$A127,0)),OFFSET($F$15,$A127,0)))</f>
        <v>PINTURAS E TEXTURAS</v>
      </c>
      <c r="O127" s="212"/>
      <c r="Q127" s="212"/>
      <c r="R127" s="213"/>
      <c r="S127" s="213"/>
      <c r="T127" s="213"/>
      <c r="U127" s="213"/>
      <c r="V127" s="213"/>
      <c r="W127" s="213"/>
      <c r="X127" s="213"/>
      <c r="Y127" s="213"/>
      <c r="Z127" s="214"/>
      <c r="AB127" s="592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3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3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3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3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3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3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3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3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4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5">
        <f ca="1">IF($D127&lt;&gt;"Serviço",0,IF(AND(AUTOEVENTO="Manual",$M127=1),0,IF(OFFSET(CRONOPLE!$F$14,$M127,AM$13)="",10^12,OFFSET(CRONOPLE!$F$14,$M127,AM$13))))</f>
        <v>2</v>
      </c>
      <c r="AN127" s="215">
        <f ca="1">IF($D127&lt;&gt;"Serviço",0,IF(AND(AUTOEVENTO="Manual",$M127=1),0,IF(OFFSET(CRONOPLE!$F$14,$M127,AN$13)="",10^12,OFFSET(CRONOPLE!$F$14,$M127,AN$13))))</f>
        <v>2</v>
      </c>
      <c r="AO127" s="215">
        <f ca="1">IF($D127&lt;&gt;"Serviço",0,IF(AND(AUTOEVENTO="Manual",$M127=1),0,IF(OFFSET(CRONOPLE!$F$14,$M127,AO$13)="",10^12,OFFSET(CRONOPLE!$F$14,$M127,AO$13))))</f>
        <v>3</v>
      </c>
      <c r="AP127" s="215">
        <f ca="1">IF($D127&lt;&gt;"Serviço",0,IF(AND(AUTOEVENTO="Manual",$M127=1),0,IF(OFFSET(CRONOPLE!$F$14,$M127,AP$13)="",10^12,OFFSET(CRONOPLE!$F$14,$M127,AP$13))))</f>
        <v>1000000000000</v>
      </c>
      <c r="AQ127" s="215">
        <f ca="1">IF($D127&lt;&gt;"Serviço",0,IF(AND(AUTOEVENTO="Manual",$M127=1),0,IF(OFFSET(CRONOPLE!$F$14,$M127,AQ$13)="",10^12,OFFSET(CRONOPLE!$F$14,$M127,AQ$13))))</f>
        <v>1000000000000</v>
      </c>
      <c r="AR127" s="215">
        <f ca="1">IF($D127&lt;&gt;"Serviço",0,IF(AND(AUTOEVENTO="Manual",$M127=1),0,IF(OFFSET(CRONOPLE!$F$14,$M127,AR$13)="",10^12,OFFSET(CRONOPLE!$F$14,$M127,AR$13))))</f>
        <v>1000000000000</v>
      </c>
      <c r="AS127" s="215">
        <f ca="1">IF($D127&lt;&gt;"Serviço",0,IF(AND(AUTOEVENTO="Manual",$M127=1),0,IF(OFFSET(CRONOPLE!$F$14,$M127,AS$13)="",10^12,OFFSET(CRONOPLE!$F$14,$M127,AS$13))))</f>
        <v>1000000000000</v>
      </c>
      <c r="AT127" s="215">
        <f ca="1">IF($D127&lt;&gt;"Serviço",0,IF(AND(AUTOEVENTO="Manual",$M127=1),0,IF(OFFSET(CRONOPLE!$F$14,$M127,AT$13)="",10^12,OFFSET(CRONOPLE!$F$14,$M127,AT$13))))</f>
        <v>1000000000000</v>
      </c>
      <c r="AU127" s="215">
        <f ca="1">IF($D127&lt;&gt;"Serviço",0,IF(AND(AUTOEVENTO="Manual",$M127=1),0,IF(OFFSET(CRONOPLE!$F$14,$M127,AU$13)="",10^12,OFFSET(CRONOPLE!$F$14,$M127,AU$13))))</f>
        <v>1000000000000</v>
      </c>
      <c r="AV127" s="215">
        <f ca="1">IF($D127&lt;&gt;"Serviço",0,IF(AND(AUTOEVENTO="Manual",$M127=1),0,IF(OFFSET(CRONOPLE!$F$14,$M127,AV$13)="",10^12,OFFSET(CRONOPLE!$F$14,$M127,AV$13))))</f>
        <v>1000000000000</v>
      </c>
      <c r="AX127" s="216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6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6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6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6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6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6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6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6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6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37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5" t="str">
        <f ca="1">OFFSET(ORÇAMENTO!N$15,ROW(D128)-ROW(D$15),0)</f>
        <v>Serviço</v>
      </c>
      <c r="E128" s="205" t="str">
        <f ca="1">OFFSET(ORÇAMENTO!O$15,ROW(E128)-ROW(E$15),0)</f>
        <v>-</v>
      </c>
      <c r="F128" s="206" t="str">
        <f ca="1">OFFSET(ORÇAMENTO!R$15,ROW(F128)-ROW(F$15),0)</f>
        <v>(abra o arquivo 'Referência 05-2023.xls)</v>
      </c>
      <c r="G128" s="207" t="str">
        <f ca="1">IF($D128&lt;&gt;"Serviço","",OFFSET(ORÇAMENTO!S$15,ROW(G128)-ROW(G$15),0))</f>
        <v>-</v>
      </c>
      <c r="H128" s="151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1"/>
      <c r="K128" s="208"/>
      <c r="L128" s="209" t="s">
        <v>254</v>
      </c>
      <c r="M128" s="210">
        <f ca="1">IF($D128&lt;&gt;"Serviço","",IF(AUTOEVENTO="manual",$A128,IF(ISERROR(MATCH($A128,$A$15:OFFSET($A128,-1,0),0)),MAX($M$15:OFFSET(M128,-1,0))+1,INDEX($M$15:OFFSET(M128,-1,0),MATCH($A128,$A$15:OFFSET($A128,-1,0),0)))))</f>
        <v>5</v>
      </c>
      <c r="N128" s="211" t="str">
        <f ca="1">IF($D128&lt;&gt;"Serviço","",IF(AUTOEVENTO="Manual",IF($A128=0,"&lt;-- defina o número do agrupador",OFFSET(EVENTOS!$D$14,$A128,0)),OFFSET($F$15,$A128,0)))</f>
        <v>PINTURAS E TEXTURAS</v>
      </c>
      <c r="O128" s="212"/>
      <c r="Q128" s="212"/>
      <c r="R128" s="213"/>
      <c r="S128" s="213"/>
      <c r="T128" s="213"/>
      <c r="U128" s="213"/>
      <c r="V128" s="213"/>
      <c r="W128" s="213"/>
      <c r="X128" s="213"/>
      <c r="Y128" s="213"/>
      <c r="Z128" s="214"/>
      <c r="AB128" s="592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3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3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3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3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3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3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3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3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4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5">
        <f ca="1">IF($D128&lt;&gt;"Serviço",0,IF(AND(AUTOEVENTO="Manual",$M128=1),0,IF(OFFSET(CRONOPLE!$F$14,$M128,AM$13)="",10^12,OFFSET(CRONOPLE!$F$14,$M128,AM$13))))</f>
        <v>2</v>
      </c>
      <c r="AN128" s="215">
        <f ca="1">IF($D128&lt;&gt;"Serviço",0,IF(AND(AUTOEVENTO="Manual",$M128=1),0,IF(OFFSET(CRONOPLE!$F$14,$M128,AN$13)="",10^12,OFFSET(CRONOPLE!$F$14,$M128,AN$13))))</f>
        <v>2</v>
      </c>
      <c r="AO128" s="215">
        <f ca="1">IF($D128&lt;&gt;"Serviço",0,IF(AND(AUTOEVENTO="Manual",$M128=1),0,IF(OFFSET(CRONOPLE!$F$14,$M128,AO$13)="",10^12,OFFSET(CRONOPLE!$F$14,$M128,AO$13))))</f>
        <v>3</v>
      </c>
      <c r="AP128" s="215">
        <f ca="1">IF($D128&lt;&gt;"Serviço",0,IF(AND(AUTOEVENTO="Manual",$M128=1),0,IF(OFFSET(CRONOPLE!$F$14,$M128,AP$13)="",10^12,OFFSET(CRONOPLE!$F$14,$M128,AP$13))))</f>
        <v>1000000000000</v>
      </c>
      <c r="AQ128" s="215">
        <f ca="1">IF($D128&lt;&gt;"Serviço",0,IF(AND(AUTOEVENTO="Manual",$M128=1),0,IF(OFFSET(CRONOPLE!$F$14,$M128,AQ$13)="",10^12,OFFSET(CRONOPLE!$F$14,$M128,AQ$13))))</f>
        <v>1000000000000</v>
      </c>
      <c r="AR128" s="215">
        <f ca="1">IF($D128&lt;&gt;"Serviço",0,IF(AND(AUTOEVENTO="Manual",$M128=1),0,IF(OFFSET(CRONOPLE!$F$14,$M128,AR$13)="",10^12,OFFSET(CRONOPLE!$F$14,$M128,AR$13))))</f>
        <v>1000000000000</v>
      </c>
      <c r="AS128" s="215">
        <f ca="1">IF($D128&lt;&gt;"Serviço",0,IF(AND(AUTOEVENTO="Manual",$M128=1),0,IF(OFFSET(CRONOPLE!$F$14,$M128,AS$13)="",10^12,OFFSET(CRONOPLE!$F$14,$M128,AS$13))))</f>
        <v>1000000000000</v>
      </c>
      <c r="AT128" s="215">
        <f ca="1">IF($D128&lt;&gt;"Serviço",0,IF(AND(AUTOEVENTO="Manual",$M128=1),0,IF(OFFSET(CRONOPLE!$F$14,$M128,AT$13)="",10^12,OFFSET(CRONOPLE!$F$14,$M128,AT$13))))</f>
        <v>1000000000000</v>
      </c>
      <c r="AU128" s="215">
        <f ca="1">IF($D128&lt;&gt;"Serviço",0,IF(AND(AUTOEVENTO="Manual",$M128=1),0,IF(OFFSET(CRONOPLE!$F$14,$M128,AU$13)="",10^12,OFFSET(CRONOPLE!$F$14,$M128,AU$13))))</f>
        <v>1000000000000</v>
      </c>
      <c r="AV128" s="215">
        <f ca="1">IF($D128&lt;&gt;"Serviço",0,IF(AND(AUTOEVENTO="Manual",$M128=1),0,IF(OFFSET(CRONOPLE!$F$14,$M128,AV$13)="",10^12,OFFSET(CRONOPLE!$F$14,$M128,AV$13))))</f>
        <v>1000000000000</v>
      </c>
      <c r="AX128" s="216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6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6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6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6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6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6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6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6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6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37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5" t="str">
        <f ca="1">OFFSET(ORÇAMENTO!N$15,ROW(D129)-ROW(D$15),0)</f>
        <v>Serviço</v>
      </c>
      <c r="E129" s="205" t="str">
        <f ca="1">OFFSET(ORÇAMENTO!O$15,ROW(E129)-ROW(E$15),0)</f>
        <v>-</v>
      </c>
      <c r="F129" s="206" t="str">
        <f ca="1">OFFSET(ORÇAMENTO!R$15,ROW(F129)-ROW(F$15),0)</f>
        <v>(abra o arquivo 'Referência 05-2023.xls)</v>
      </c>
      <c r="G129" s="207" t="str">
        <f ca="1">IF($D129&lt;&gt;"Serviço","",OFFSET(ORÇAMENTO!S$15,ROW(G129)-ROW(G$15),0))</f>
        <v>-</v>
      </c>
      <c r="H129" s="151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1"/>
      <c r="K129" s="208"/>
      <c r="L129" s="209" t="s">
        <v>254</v>
      </c>
      <c r="M129" s="210">
        <f ca="1">IF($D129&lt;&gt;"Serviço","",IF(AUTOEVENTO="manual",$A129,IF(ISERROR(MATCH($A129,$A$15:OFFSET($A129,-1,0),0)),MAX($M$15:OFFSET(M129,-1,0))+1,INDEX($M$15:OFFSET(M129,-1,0),MATCH($A129,$A$15:OFFSET($A129,-1,0),0)))))</f>
        <v>5</v>
      </c>
      <c r="N129" s="211" t="str">
        <f ca="1">IF($D129&lt;&gt;"Serviço","",IF(AUTOEVENTO="Manual",IF($A129=0,"&lt;-- defina o número do agrupador",OFFSET(EVENTOS!$D$14,$A129,0)),OFFSET($F$15,$A129,0)))</f>
        <v>PINTURAS E TEXTURAS</v>
      </c>
      <c r="O129" s="212"/>
      <c r="Q129" s="212"/>
      <c r="R129" s="213"/>
      <c r="S129" s="213"/>
      <c r="T129" s="213"/>
      <c r="U129" s="213"/>
      <c r="V129" s="213"/>
      <c r="W129" s="213"/>
      <c r="X129" s="213"/>
      <c r="Y129" s="213"/>
      <c r="Z129" s="214"/>
      <c r="AB129" s="592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3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3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3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3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3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3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3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3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4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5">
        <f ca="1">IF($D129&lt;&gt;"Serviço",0,IF(AND(AUTOEVENTO="Manual",$M129=1),0,IF(OFFSET(CRONOPLE!$F$14,$M129,AM$13)="",10^12,OFFSET(CRONOPLE!$F$14,$M129,AM$13))))</f>
        <v>2</v>
      </c>
      <c r="AN129" s="215">
        <f ca="1">IF($D129&lt;&gt;"Serviço",0,IF(AND(AUTOEVENTO="Manual",$M129=1),0,IF(OFFSET(CRONOPLE!$F$14,$M129,AN$13)="",10^12,OFFSET(CRONOPLE!$F$14,$M129,AN$13))))</f>
        <v>2</v>
      </c>
      <c r="AO129" s="215">
        <f ca="1">IF($D129&lt;&gt;"Serviço",0,IF(AND(AUTOEVENTO="Manual",$M129=1),0,IF(OFFSET(CRONOPLE!$F$14,$M129,AO$13)="",10^12,OFFSET(CRONOPLE!$F$14,$M129,AO$13))))</f>
        <v>3</v>
      </c>
      <c r="AP129" s="215">
        <f ca="1">IF($D129&lt;&gt;"Serviço",0,IF(AND(AUTOEVENTO="Manual",$M129=1),0,IF(OFFSET(CRONOPLE!$F$14,$M129,AP$13)="",10^12,OFFSET(CRONOPLE!$F$14,$M129,AP$13))))</f>
        <v>1000000000000</v>
      </c>
      <c r="AQ129" s="215">
        <f ca="1">IF($D129&lt;&gt;"Serviço",0,IF(AND(AUTOEVENTO="Manual",$M129=1),0,IF(OFFSET(CRONOPLE!$F$14,$M129,AQ$13)="",10^12,OFFSET(CRONOPLE!$F$14,$M129,AQ$13))))</f>
        <v>1000000000000</v>
      </c>
      <c r="AR129" s="215">
        <f ca="1">IF($D129&lt;&gt;"Serviço",0,IF(AND(AUTOEVENTO="Manual",$M129=1),0,IF(OFFSET(CRONOPLE!$F$14,$M129,AR$13)="",10^12,OFFSET(CRONOPLE!$F$14,$M129,AR$13))))</f>
        <v>1000000000000</v>
      </c>
      <c r="AS129" s="215">
        <f ca="1">IF($D129&lt;&gt;"Serviço",0,IF(AND(AUTOEVENTO="Manual",$M129=1),0,IF(OFFSET(CRONOPLE!$F$14,$M129,AS$13)="",10^12,OFFSET(CRONOPLE!$F$14,$M129,AS$13))))</f>
        <v>1000000000000</v>
      </c>
      <c r="AT129" s="215">
        <f ca="1">IF($D129&lt;&gt;"Serviço",0,IF(AND(AUTOEVENTO="Manual",$M129=1),0,IF(OFFSET(CRONOPLE!$F$14,$M129,AT$13)="",10^12,OFFSET(CRONOPLE!$F$14,$M129,AT$13))))</f>
        <v>1000000000000</v>
      </c>
      <c r="AU129" s="215">
        <f ca="1">IF($D129&lt;&gt;"Serviço",0,IF(AND(AUTOEVENTO="Manual",$M129=1),0,IF(OFFSET(CRONOPLE!$F$14,$M129,AU$13)="",10^12,OFFSET(CRONOPLE!$F$14,$M129,AU$13))))</f>
        <v>1000000000000</v>
      </c>
      <c r="AV129" s="215">
        <f ca="1">IF($D129&lt;&gt;"Serviço",0,IF(AND(AUTOEVENTO="Manual",$M129=1),0,IF(OFFSET(CRONOPLE!$F$14,$M129,AV$13)="",10^12,OFFSET(CRONOPLE!$F$14,$M129,AV$13))))</f>
        <v>1000000000000</v>
      </c>
      <c r="AX129" s="216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6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6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6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6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6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6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6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6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6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37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5" t="str">
        <f ca="1">OFFSET(ORÇAMENTO!N$15,ROW(D130)-ROW(D$15),0)</f>
        <v>Serviço</v>
      </c>
      <c r="E130" s="205" t="str">
        <f ca="1">OFFSET(ORÇAMENTO!O$15,ROW(E130)-ROW(E$15),0)</f>
        <v>-</v>
      </c>
      <c r="F130" s="206" t="str">
        <f ca="1">OFFSET(ORÇAMENTO!R$15,ROW(F130)-ROW(F$15),0)</f>
        <v>(abra o arquivo 'Referência 05-2023.xls)</v>
      </c>
      <c r="G130" s="207" t="str">
        <f ca="1">IF($D130&lt;&gt;"Serviço","",OFFSET(ORÇAMENTO!S$15,ROW(G130)-ROW(G$15),0))</f>
        <v>-</v>
      </c>
      <c r="H130" s="151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1"/>
      <c r="K130" s="208"/>
      <c r="L130" s="209" t="s">
        <v>254</v>
      </c>
      <c r="M130" s="210">
        <f ca="1">IF($D130&lt;&gt;"Serviço","",IF(AUTOEVENTO="manual",$A130,IF(ISERROR(MATCH($A130,$A$15:OFFSET($A130,-1,0),0)),MAX($M$15:OFFSET(M130,-1,0))+1,INDEX($M$15:OFFSET(M130,-1,0),MATCH($A130,$A$15:OFFSET($A130,-1,0),0)))))</f>
        <v>5</v>
      </c>
      <c r="N130" s="211" t="str">
        <f ca="1">IF($D130&lt;&gt;"Serviço","",IF(AUTOEVENTO="Manual",IF($A130=0,"&lt;-- defina o número do agrupador",OFFSET(EVENTOS!$D$14,$A130,0)),OFFSET($F$15,$A130,0)))</f>
        <v>PINTURAS E TEXTURAS</v>
      </c>
      <c r="O130" s="212"/>
      <c r="Q130" s="212"/>
      <c r="R130" s="213"/>
      <c r="S130" s="213"/>
      <c r="T130" s="213"/>
      <c r="U130" s="213"/>
      <c r="V130" s="213"/>
      <c r="W130" s="213"/>
      <c r="X130" s="213"/>
      <c r="Y130" s="213"/>
      <c r="Z130" s="214"/>
      <c r="AB130" s="592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3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3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3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3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3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3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3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3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4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5">
        <f ca="1">IF($D130&lt;&gt;"Serviço",0,IF(AND(AUTOEVENTO="Manual",$M130=1),0,IF(OFFSET(CRONOPLE!$F$14,$M130,AM$13)="",10^12,OFFSET(CRONOPLE!$F$14,$M130,AM$13))))</f>
        <v>2</v>
      </c>
      <c r="AN130" s="215">
        <f ca="1">IF($D130&lt;&gt;"Serviço",0,IF(AND(AUTOEVENTO="Manual",$M130=1),0,IF(OFFSET(CRONOPLE!$F$14,$M130,AN$13)="",10^12,OFFSET(CRONOPLE!$F$14,$M130,AN$13))))</f>
        <v>2</v>
      </c>
      <c r="AO130" s="215">
        <f ca="1">IF($D130&lt;&gt;"Serviço",0,IF(AND(AUTOEVENTO="Manual",$M130=1),0,IF(OFFSET(CRONOPLE!$F$14,$M130,AO$13)="",10^12,OFFSET(CRONOPLE!$F$14,$M130,AO$13))))</f>
        <v>3</v>
      </c>
      <c r="AP130" s="215">
        <f ca="1">IF($D130&lt;&gt;"Serviço",0,IF(AND(AUTOEVENTO="Manual",$M130=1),0,IF(OFFSET(CRONOPLE!$F$14,$M130,AP$13)="",10^12,OFFSET(CRONOPLE!$F$14,$M130,AP$13))))</f>
        <v>1000000000000</v>
      </c>
      <c r="AQ130" s="215">
        <f ca="1">IF($D130&lt;&gt;"Serviço",0,IF(AND(AUTOEVENTO="Manual",$M130=1),0,IF(OFFSET(CRONOPLE!$F$14,$M130,AQ$13)="",10^12,OFFSET(CRONOPLE!$F$14,$M130,AQ$13))))</f>
        <v>1000000000000</v>
      </c>
      <c r="AR130" s="215">
        <f ca="1">IF($D130&lt;&gt;"Serviço",0,IF(AND(AUTOEVENTO="Manual",$M130=1),0,IF(OFFSET(CRONOPLE!$F$14,$M130,AR$13)="",10^12,OFFSET(CRONOPLE!$F$14,$M130,AR$13))))</f>
        <v>1000000000000</v>
      </c>
      <c r="AS130" s="215">
        <f ca="1">IF($D130&lt;&gt;"Serviço",0,IF(AND(AUTOEVENTO="Manual",$M130=1),0,IF(OFFSET(CRONOPLE!$F$14,$M130,AS$13)="",10^12,OFFSET(CRONOPLE!$F$14,$M130,AS$13))))</f>
        <v>1000000000000</v>
      </c>
      <c r="AT130" s="215">
        <f ca="1">IF($D130&lt;&gt;"Serviço",0,IF(AND(AUTOEVENTO="Manual",$M130=1),0,IF(OFFSET(CRONOPLE!$F$14,$M130,AT$13)="",10^12,OFFSET(CRONOPLE!$F$14,$M130,AT$13))))</f>
        <v>1000000000000</v>
      </c>
      <c r="AU130" s="215">
        <f ca="1">IF($D130&lt;&gt;"Serviço",0,IF(AND(AUTOEVENTO="Manual",$M130=1),0,IF(OFFSET(CRONOPLE!$F$14,$M130,AU$13)="",10^12,OFFSET(CRONOPLE!$F$14,$M130,AU$13))))</f>
        <v>1000000000000</v>
      </c>
      <c r="AV130" s="215">
        <f ca="1">IF($D130&lt;&gt;"Serviço",0,IF(AND(AUTOEVENTO="Manual",$M130=1),0,IF(OFFSET(CRONOPLE!$F$14,$M130,AV$13)="",10^12,OFFSET(CRONOPLE!$F$14,$M130,AV$13))))</f>
        <v>1000000000000</v>
      </c>
      <c r="AX130" s="216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6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6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6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6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6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6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6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6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6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37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5" t="str">
        <f ca="1">OFFSET(ORÇAMENTO!N$15,ROW(D131)-ROW(D$15),0)</f>
        <v>Serviço</v>
      </c>
      <c r="E131" s="205" t="str">
        <f ca="1">OFFSET(ORÇAMENTO!O$15,ROW(E131)-ROW(E$15),0)</f>
        <v>-</v>
      </c>
      <c r="F131" s="206" t="str">
        <f ca="1">OFFSET(ORÇAMENTO!R$15,ROW(F131)-ROW(F$15),0)</f>
        <v>(abra o arquivo 'Referência 05-2023.xls)</v>
      </c>
      <c r="G131" s="207" t="str">
        <f ca="1">IF($D131&lt;&gt;"Serviço","",OFFSET(ORÇAMENTO!S$15,ROW(G131)-ROW(G$15),0))</f>
        <v>-</v>
      </c>
      <c r="H131" s="151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1"/>
      <c r="K131" s="208"/>
      <c r="L131" s="209" t="s">
        <v>254</v>
      </c>
      <c r="M131" s="210">
        <f ca="1">IF($D131&lt;&gt;"Serviço","",IF(AUTOEVENTO="manual",$A131,IF(ISERROR(MATCH($A131,$A$15:OFFSET($A131,-1,0),0)),MAX($M$15:OFFSET(M131,-1,0))+1,INDEX($M$15:OFFSET(M131,-1,0),MATCH($A131,$A$15:OFFSET($A131,-1,0),0)))))</f>
        <v>5</v>
      </c>
      <c r="N131" s="211" t="str">
        <f ca="1">IF($D131&lt;&gt;"Serviço","",IF(AUTOEVENTO="Manual",IF($A131=0,"&lt;-- defina o número do agrupador",OFFSET(EVENTOS!$D$14,$A131,0)),OFFSET($F$15,$A131,0)))</f>
        <v>PINTURAS E TEXTURAS</v>
      </c>
      <c r="O131" s="212"/>
      <c r="Q131" s="212"/>
      <c r="R131" s="213"/>
      <c r="S131" s="213"/>
      <c r="T131" s="213"/>
      <c r="U131" s="213"/>
      <c r="V131" s="213"/>
      <c r="W131" s="213"/>
      <c r="X131" s="213"/>
      <c r="Y131" s="213"/>
      <c r="Z131" s="214"/>
      <c r="AB131" s="592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3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3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3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3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3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3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3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3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4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5">
        <f ca="1">IF($D131&lt;&gt;"Serviço",0,IF(AND(AUTOEVENTO="Manual",$M131=1),0,IF(OFFSET(CRONOPLE!$F$14,$M131,AM$13)="",10^12,OFFSET(CRONOPLE!$F$14,$M131,AM$13))))</f>
        <v>2</v>
      </c>
      <c r="AN131" s="215">
        <f ca="1">IF($D131&lt;&gt;"Serviço",0,IF(AND(AUTOEVENTO="Manual",$M131=1),0,IF(OFFSET(CRONOPLE!$F$14,$M131,AN$13)="",10^12,OFFSET(CRONOPLE!$F$14,$M131,AN$13))))</f>
        <v>2</v>
      </c>
      <c r="AO131" s="215">
        <f ca="1">IF($D131&lt;&gt;"Serviço",0,IF(AND(AUTOEVENTO="Manual",$M131=1),0,IF(OFFSET(CRONOPLE!$F$14,$M131,AO$13)="",10^12,OFFSET(CRONOPLE!$F$14,$M131,AO$13))))</f>
        <v>3</v>
      </c>
      <c r="AP131" s="215">
        <f ca="1">IF($D131&lt;&gt;"Serviço",0,IF(AND(AUTOEVENTO="Manual",$M131=1),0,IF(OFFSET(CRONOPLE!$F$14,$M131,AP$13)="",10^12,OFFSET(CRONOPLE!$F$14,$M131,AP$13))))</f>
        <v>1000000000000</v>
      </c>
      <c r="AQ131" s="215">
        <f ca="1">IF($D131&lt;&gt;"Serviço",0,IF(AND(AUTOEVENTO="Manual",$M131=1),0,IF(OFFSET(CRONOPLE!$F$14,$M131,AQ$13)="",10^12,OFFSET(CRONOPLE!$F$14,$M131,AQ$13))))</f>
        <v>1000000000000</v>
      </c>
      <c r="AR131" s="215">
        <f ca="1">IF($D131&lt;&gt;"Serviço",0,IF(AND(AUTOEVENTO="Manual",$M131=1),0,IF(OFFSET(CRONOPLE!$F$14,$M131,AR$13)="",10^12,OFFSET(CRONOPLE!$F$14,$M131,AR$13))))</f>
        <v>1000000000000</v>
      </c>
      <c r="AS131" s="215">
        <f ca="1">IF($D131&lt;&gt;"Serviço",0,IF(AND(AUTOEVENTO="Manual",$M131=1),0,IF(OFFSET(CRONOPLE!$F$14,$M131,AS$13)="",10^12,OFFSET(CRONOPLE!$F$14,$M131,AS$13))))</f>
        <v>1000000000000</v>
      </c>
      <c r="AT131" s="215">
        <f ca="1">IF($D131&lt;&gt;"Serviço",0,IF(AND(AUTOEVENTO="Manual",$M131=1),0,IF(OFFSET(CRONOPLE!$F$14,$M131,AT$13)="",10^12,OFFSET(CRONOPLE!$F$14,$M131,AT$13))))</f>
        <v>1000000000000</v>
      </c>
      <c r="AU131" s="215">
        <f ca="1">IF($D131&lt;&gt;"Serviço",0,IF(AND(AUTOEVENTO="Manual",$M131=1),0,IF(OFFSET(CRONOPLE!$F$14,$M131,AU$13)="",10^12,OFFSET(CRONOPLE!$F$14,$M131,AU$13))))</f>
        <v>1000000000000</v>
      </c>
      <c r="AV131" s="215">
        <f ca="1">IF($D131&lt;&gt;"Serviço",0,IF(AND(AUTOEVENTO="Manual",$M131=1),0,IF(OFFSET(CRONOPLE!$F$14,$M131,AV$13)="",10^12,OFFSET(CRONOPLE!$F$14,$M131,AV$13))))</f>
        <v>1000000000000</v>
      </c>
      <c r="AX131" s="216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6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6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6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6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6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6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6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6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6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37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5" t="str">
        <f ca="1">OFFSET(ORÇAMENTO!N$15,ROW(D132)-ROW(D$15),0)</f>
        <v>Serviço</v>
      </c>
      <c r="E132" s="205" t="str">
        <f ca="1">OFFSET(ORÇAMENTO!O$15,ROW(E132)-ROW(E$15),0)</f>
        <v>-</v>
      </c>
      <c r="F132" s="206" t="str">
        <f ca="1">OFFSET(ORÇAMENTO!R$15,ROW(F132)-ROW(F$15),0)</f>
        <v>(abra o arquivo 'Referência 05-2023.xls)</v>
      </c>
      <c r="G132" s="207" t="str">
        <f ca="1">IF($D132&lt;&gt;"Serviço","",OFFSET(ORÇAMENTO!S$15,ROW(G132)-ROW(G$15),0))</f>
        <v>-</v>
      </c>
      <c r="H132" s="151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1"/>
      <c r="K132" s="208"/>
      <c r="L132" s="209" t="s">
        <v>254</v>
      </c>
      <c r="M132" s="210">
        <f ca="1">IF($D132&lt;&gt;"Serviço","",IF(AUTOEVENTO="manual",$A132,IF(ISERROR(MATCH($A132,$A$15:OFFSET($A132,-1,0),0)),MAX($M$15:OFFSET(M132,-1,0))+1,INDEX($M$15:OFFSET(M132,-1,0),MATCH($A132,$A$15:OFFSET($A132,-1,0),0)))))</f>
        <v>5</v>
      </c>
      <c r="N132" s="211" t="str">
        <f ca="1">IF($D132&lt;&gt;"Serviço","",IF(AUTOEVENTO="Manual",IF($A132=0,"&lt;-- defina o número do agrupador",OFFSET(EVENTOS!$D$14,$A132,0)),OFFSET($F$15,$A132,0)))</f>
        <v>PINTURAS E TEXTURAS</v>
      </c>
      <c r="O132" s="212"/>
      <c r="Q132" s="212"/>
      <c r="R132" s="213"/>
      <c r="S132" s="213"/>
      <c r="T132" s="213"/>
      <c r="U132" s="213"/>
      <c r="V132" s="213"/>
      <c r="W132" s="213"/>
      <c r="X132" s="213"/>
      <c r="Y132" s="213"/>
      <c r="Z132" s="214"/>
      <c r="AB132" s="592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3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3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3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3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3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3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3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3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4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5">
        <f ca="1">IF($D132&lt;&gt;"Serviço",0,IF(AND(AUTOEVENTO="Manual",$M132=1),0,IF(OFFSET(CRONOPLE!$F$14,$M132,AM$13)="",10^12,OFFSET(CRONOPLE!$F$14,$M132,AM$13))))</f>
        <v>2</v>
      </c>
      <c r="AN132" s="215">
        <f ca="1">IF($D132&lt;&gt;"Serviço",0,IF(AND(AUTOEVENTO="Manual",$M132=1),0,IF(OFFSET(CRONOPLE!$F$14,$M132,AN$13)="",10^12,OFFSET(CRONOPLE!$F$14,$M132,AN$13))))</f>
        <v>2</v>
      </c>
      <c r="AO132" s="215">
        <f ca="1">IF($D132&lt;&gt;"Serviço",0,IF(AND(AUTOEVENTO="Manual",$M132=1),0,IF(OFFSET(CRONOPLE!$F$14,$M132,AO$13)="",10^12,OFFSET(CRONOPLE!$F$14,$M132,AO$13))))</f>
        <v>3</v>
      </c>
      <c r="AP132" s="215">
        <f ca="1">IF($D132&lt;&gt;"Serviço",0,IF(AND(AUTOEVENTO="Manual",$M132=1),0,IF(OFFSET(CRONOPLE!$F$14,$M132,AP$13)="",10^12,OFFSET(CRONOPLE!$F$14,$M132,AP$13))))</f>
        <v>1000000000000</v>
      </c>
      <c r="AQ132" s="215">
        <f ca="1">IF($D132&lt;&gt;"Serviço",0,IF(AND(AUTOEVENTO="Manual",$M132=1),0,IF(OFFSET(CRONOPLE!$F$14,$M132,AQ$13)="",10^12,OFFSET(CRONOPLE!$F$14,$M132,AQ$13))))</f>
        <v>1000000000000</v>
      </c>
      <c r="AR132" s="215">
        <f ca="1">IF($D132&lt;&gt;"Serviço",0,IF(AND(AUTOEVENTO="Manual",$M132=1),0,IF(OFFSET(CRONOPLE!$F$14,$M132,AR$13)="",10^12,OFFSET(CRONOPLE!$F$14,$M132,AR$13))))</f>
        <v>1000000000000</v>
      </c>
      <c r="AS132" s="215">
        <f ca="1">IF($D132&lt;&gt;"Serviço",0,IF(AND(AUTOEVENTO="Manual",$M132=1),0,IF(OFFSET(CRONOPLE!$F$14,$M132,AS$13)="",10^12,OFFSET(CRONOPLE!$F$14,$M132,AS$13))))</f>
        <v>1000000000000</v>
      </c>
      <c r="AT132" s="215">
        <f ca="1">IF($D132&lt;&gt;"Serviço",0,IF(AND(AUTOEVENTO="Manual",$M132=1),0,IF(OFFSET(CRONOPLE!$F$14,$M132,AT$13)="",10^12,OFFSET(CRONOPLE!$F$14,$M132,AT$13))))</f>
        <v>1000000000000</v>
      </c>
      <c r="AU132" s="215">
        <f ca="1">IF($D132&lt;&gt;"Serviço",0,IF(AND(AUTOEVENTO="Manual",$M132=1),0,IF(OFFSET(CRONOPLE!$F$14,$M132,AU$13)="",10^12,OFFSET(CRONOPLE!$F$14,$M132,AU$13))))</f>
        <v>1000000000000</v>
      </c>
      <c r="AV132" s="215">
        <f ca="1">IF($D132&lt;&gt;"Serviço",0,IF(AND(AUTOEVENTO="Manual",$M132=1),0,IF(OFFSET(CRONOPLE!$F$14,$M132,AV$13)="",10^12,OFFSET(CRONOPLE!$F$14,$M132,AV$13))))</f>
        <v>1000000000000</v>
      </c>
      <c r="AX132" s="216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6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6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6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6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6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6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6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6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6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37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5" t="str">
        <f ca="1">OFFSET(ORÇAMENTO!N$15,ROW(D133)-ROW(D$15),0)</f>
        <v>Serviço</v>
      </c>
      <c r="E133" s="205" t="str">
        <f ca="1">OFFSET(ORÇAMENTO!O$15,ROW(E133)-ROW(E$15),0)</f>
        <v>-</v>
      </c>
      <c r="F133" s="206" t="str">
        <f ca="1">OFFSET(ORÇAMENTO!R$15,ROW(F133)-ROW(F$15),0)</f>
        <v>(abra o arquivo 'Referência 05-2023.xls)</v>
      </c>
      <c r="G133" s="207" t="str">
        <f ca="1">IF($D133&lt;&gt;"Serviço","",OFFSET(ORÇAMENTO!S$15,ROW(G133)-ROW(G$15),0))</f>
        <v>-</v>
      </c>
      <c r="H133" s="151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1"/>
      <c r="K133" s="208"/>
      <c r="L133" s="209" t="s">
        <v>254</v>
      </c>
      <c r="M133" s="210">
        <f ca="1">IF($D133&lt;&gt;"Serviço","",IF(AUTOEVENTO="manual",$A133,IF(ISERROR(MATCH($A133,$A$15:OFFSET($A133,-1,0),0)),MAX($M$15:OFFSET(M133,-1,0))+1,INDEX($M$15:OFFSET(M133,-1,0),MATCH($A133,$A$15:OFFSET($A133,-1,0),0)))))</f>
        <v>5</v>
      </c>
      <c r="N133" s="211" t="str">
        <f ca="1">IF($D133&lt;&gt;"Serviço","",IF(AUTOEVENTO="Manual",IF($A133=0,"&lt;-- defina o número do agrupador",OFFSET(EVENTOS!$D$14,$A133,0)),OFFSET($F$15,$A133,0)))</f>
        <v>PINTURAS E TEXTURAS</v>
      </c>
      <c r="O133" s="212"/>
      <c r="Q133" s="212"/>
      <c r="R133" s="213"/>
      <c r="S133" s="213"/>
      <c r="T133" s="213"/>
      <c r="U133" s="213"/>
      <c r="V133" s="213"/>
      <c r="W133" s="213"/>
      <c r="X133" s="213"/>
      <c r="Y133" s="213"/>
      <c r="Z133" s="214"/>
      <c r="AB133" s="592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3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3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3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3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3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3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3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3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4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5">
        <f ca="1">IF($D133&lt;&gt;"Serviço",0,IF(AND(AUTOEVENTO="Manual",$M133=1),0,IF(OFFSET(CRONOPLE!$F$14,$M133,AM$13)="",10^12,OFFSET(CRONOPLE!$F$14,$M133,AM$13))))</f>
        <v>2</v>
      </c>
      <c r="AN133" s="215">
        <f ca="1">IF($D133&lt;&gt;"Serviço",0,IF(AND(AUTOEVENTO="Manual",$M133=1),0,IF(OFFSET(CRONOPLE!$F$14,$M133,AN$13)="",10^12,OFFSET(CRONOPLE!$F$14,$M133,AN$13))))</f>
        <v>2</v>
      </c>
      <c r="AO133" s="215">
        <f ca="1">IF($D133&lt;&gt;"Serviço",0,IF(AND(AUTOEVENTO="Manual",$M133=1),0,IF(OFFSET(CRONOPLE!$F$14,$M133,AO$13)="",10^12,OFFSET(CRONOPLE!$F$14,$M133,AO$13))))</f>
        <v>3</v>
      </c>
      <c r="AP133" s="215">
        <f ca="1">IF($D133&lt;&gt;"Serviço",0,IF(AND(AUTOEVENTO="Manual",$M133=1),0,IF(OFFSET(CRONOPLE!$F$14,$M133,AP$13)="",10^12,OFFSET(CRONOPLE!$F$14,$M133,AP$13))))</f>
        <v>1000000000000</v>
      </c>
      <c r="AQ133" s="215">
        <f ca="1">IF($D133&lt;&gt;"Serviço",0,IF(AND(AUTOEVENTO="Manual",$M133=1),0,IF(OFFSET(CRONOPLE!$F$14,$M133,AQ$13)="",10^12,OFFSET(CRONOPLE!$F$14,$M133,AQ$13))))</f>
        <v>1000000000000</v>
      </c>
      <c r="AR133" s="215">
        <f ca="1">IF($D133&lt;&gt;"Serviço",0,IF(AND(AUTOEVENTO="Manual",$M133=1),0,IF(OFFSET(CRONOPLE!$F$14,$M133,AR$13)="",10^12,OFFSET(CRONOPLE!$F$14,$M133,AR$13))))</f>
        <v>1000000000000</v>
      </c>
      <c r="AS133" s="215">
        <f ca="1">IF($D133&lt;&gt;"Serviço",0,IF(AND(AUTOEVENTO="Manual",$M133=1),0,IF(OFFSET(CRONOPLE!$F$14,$M133,AS$13)="",10^12,OFFSET(CRONOPLE!$F$14,$M133,AS$13))))</f>
        <v>1000000000000</v>
      </c>
      <c r="AT133" s="215">
        <f ca="1">IF($D133&lt;&gt;"Serviço",0,IF(AND(AUTOEVENTO="Manual",$M133=1),0,IF(OFFSET(CRONOPLE!$F$14,$M133,AT$13)="",10^12,OFFSET(CRONOPLE!$F$14,$M133,AT$13))))</f>
        <v>1000000000000</v>
      </c>
      <c r="AU133" s="215">
        <f ca="1">IF($D133&lt;&gt;"Serviço",0,IF(AND(AUTOEVENTO="Manual",$M133=1),0,IF(OFFSET(CRONOPLE!$F$14,$M133,AU$13)="",10^12,OFFSET(CRONOPLE!$F$14,$M133,AU$13))))</f>
        <v>1000000000000</v>
      </c>
      <c r="AV133" s="215">
        <f ca="1">IF($D133&lt;&gt;"Serviço",0,IF(AND(AUTOEVENTO="Manual",$M133=1),0,IF(OFFSET(CRONOPLE!$F$14,$M133,AV$13)="",10^12,OFFSET(CRONOPLE!$F$14,$M133,AV$13))))</f>
        <v>1000000000000</v>
      </c>
      <c r="AX133" s="216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6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6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6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6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6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6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6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6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6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37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5" t="str">
        <f ca="1">OFFSET(ORÇAMENTO!N$15,ROW(D134)-ROW(D$15),0)</f>
        <v>Serviço</v>
      </c>
      <c r="E134" s="205" t="str">
        <f ca="1">OFFSET(ORÇAMENTO!O$15,ROW(E134)-ROW(E$15),0)</f>
        <v>-</v>
      </c>
      <c r="F134" s="206" t="str">
        <f ca="1">OFFSET(ORÇAMENTO!R$15,ROW(F134)-ROW(F$15),0)</f>
        <v>(abra o arquivo 'Referência 05-2023.xls)</v>
      </c>
      <c r="G134" s="207" t="str">
        <f ca="1">IF($D134&lt;&gt;"Serviço","",OFFSET(ORÇAMENTO!S$15,ROW(G134)-ROW(G$15),0))</f>
        <v>-</v>
      </c>
      <c r="H134" s="151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1"/>
      <c r="K134" s="208"/>
      <c r="L134" s="209" t="s">
        <v>254</v>
      </c>
      <c r="M134" s="210">
        <f ca="1">IF($D134&lt;&gt;"Serviço","",IF(AUTOEVENTO="manual",$A134,IF(ISERROR(MATCH($A134,$A$15:OFFSET($A134,-1,0),0)),MAX($M$15:OFFSET(M134,-1,0))+1,INDEX($M$15:OFFSET(M134,-1,0),MATCH($A134,$A$15:OFFSET($A134,-1,0),0)))))</f>
        <v>5</v>
      </c>
      <c r="N134" s="211" t="str">
        <f ca="1">IF($D134&lt;&gt;"Serviço","",IF(AUTOEVENTO="Manual",IF($A134=0,"&lt;-- defina o número do agrupador",OFFSET(EVENTOS!$D$14,$A134,0)),OFFSET($F$15,$A134,0)))</f>
        <v>PINTURAS E TEXTURAS</v>
      </c>
      <c r="O134" s="212"/>
      <c r="Q134" s="212"/>
      <c r="R134" s="213"/>
      <c r="S134" s="213"/>
      <c r="T134" s="213"/>
      <c r="U134" s="213"/>
      <c r="V134" s="213"/>
      <c r="W134" s="213"/>
      <c r="X134" s="213"/>
      <c r="Y134" s="213"/>
      <c r="Z134" s="214"/>
      <c r="AB134" s="592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3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3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3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3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3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3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3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3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4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5">
        <f ca="1">IF($D134&lt;&gt;"Serviço",0,IF(AND(AUTOEVENTO="Manual",$M134=1),0,IF(OFFSET(CRONOPLE!$F$14,$M134,AM$13)="",10^12,OFFSET(CRONOPLE!$F$14,$M134,AM$13))))</f>
        <v>2</v>
      </c>
      <c r="AN134" s="215">
        <f ca="1">IF($D134&lt;&gt;"Serviço",0,IF(AND(AUTOEVENTO="Manual",$M134=1),0,IF(OFFSET(CRONOPLE!$F$14,$M134,AN$13)="",10^12,OFFSET(CRONOPLE!$F$14,$M134,AN$13))))</f>
        <v>2</v>
      </c>
      <c r="AO134" s="215">
        <f ca="1">IF($D134&lt;&gt;"Serviço",0,IF(AND(AUTOEVENTO="Manual",$M134=1),0,IF(OFFSET(CRONOPLE!$F$14,$M134,AO$13)="",10^12,OFFSET(CRONOPLE!$F$14,$M134,AO$13))))</f>
        <v>3</v>
      </c>
      <c r="AP134" s="215">
        <f ca="1">IF($D134&lt;&gt;"Serviço",0,IF(AND(AUTOEVENTO="Manual",$M134=1),0,IF(OFFSET(CRONOPLE!$F$14,$M134,AP$13)="",10^12,OFFSET(CRONOPLE!$F$14,$M134,AP$13))))</f>
        <v>1000000000000</v>
      </c>
      <c r="AQ134" s="215">
        <f ca="1">IF($D134&lt;&gt;"Serviço",0,IF(AND(AUTOEVENTO="Manual",$M134=1),0,IF(OFFSET(CRONOPLE!$F$14,$M134,AQ$13)="",10^12,OFFSET(CRONOPLE!$F$14,$M134,AQ$13))))</f>
        <v>1000000000000</v>
      </c>
      <c r="AR134" s="215">
        <f ca="1">IF($D134&lt;&gt;"Serviço",0,IF(AND(AUTOEVENTO="Manual",$M134=1),0,IF(OFFSET(CRONOPLE!$F$14,$M134,AR$13)="",10^12,OFFSET(CRONOPLE!$F$14,$M134,AR$13))))</f>
        <v>1000000000000</v>
      </c>
      <c r="AS134" s="215">
        <f ca="1">IF($D134&lt;&gt;"Serviço",0,IF(AND(AUTOEVENTO="Manual",$M134=1),0,IF(OFFSET(CRONOPLE!$F$14,$M134,AS$13)="",10^12,OFFSET(CRONOPLE!$F$14,$M134,AS$13))))</f>
        <v>1000000000000</v>
      </c>
      <c r="AT134" s="215">
        <f ca="1">IF($D134&lt;&gt;"Serviço",0,IF(AND(AUTOEVENTO="Manual",$M134=1),0,IF(OFFSET(CRONOPLE!$F$14,$M134,AT$13)="",10^12,OFFSET(CRONOPLE!$F$14,$M134,AT$13))))</f>
        <v>1000000000000</v>
      </c>
      <c r="AU134" s="215">
        <f ca="1">IF($D134&lt;&gt;"Serviço",0,IF(AND(AUTOEVENTO="Manual",$M134=1),0,IF(OFFSET(CRONOPLE!$F$14,$M134,AU$13)="",10^12,OFFSET(CRONOPLE!$F$14,$M134,AU$13))))</f>
        <v>1000000000000</v>
      </c>
      <c r="AV134" s="215">
        <f ca="1">IF($D134&lt;&gt;"Serviço",0,IF(AND(AUTOEVENTO="Manual",$M134=1),0,IF(OFFSET(CRONOPLE!$F$14,$M134,AV$13)="",10^12,OFFSET(CRONOPLE!$F$14,$M134,AV$13))))</f>
        <v>1000000000000</v>
      </c>
      <c r="AX134" s="216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6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6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6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6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6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6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6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6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6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37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5" t="str">
        <f ca="1">OFFSET(ORÇAMENTO!N$15,ROW(D135)-ROW(D$15),0)</f>
        <v>Serviço</v>
      </c>
      <c r="E135" s="205" t="str">
        <f ca="1">OFFSET(ORÇAMENTO!O$15,ROW(E135)-ROW(E$15),0)</f>
        <v>-</v>
      </c>
      <c r="F135" s="206" t="str">
        <f ca="1">OFFSET(ORÇAMENTO!R$15,ROW(F135)-ROW(F$15),0)</f>
        <v>(abra o arquivo 'Referência 05-2023.xls)</v>
      </c>
      <c r="G135" s="207" t="str">
        <f ca="1">IF($D135&lt;&gt;"Serviço","",OFFSET(ORÇAMENTO!S$15,ROW(G135)-ROW(G$15),0))</f>
        <v>-</v>
      </c>
      <c r="H135" s="151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1"/>
      <c r="K135" s="208"/>
      <c r="L135" s="209" t="s">
        <v>254</v>
      </c>
      <c r="M135" s="210">
        <f ca="1">IF($D135&lt;&gt;"Serviço","",IF(AUTOEVENTO="manual",$A135,IF(ISERROR(MATCH($A135,$A$15:OFFSET($A135,-1,0),0)),MAX($M$15:OFFSET(M135,-1,0))+1,INDEX($M$15:OFFSET(M135,-1,0),MATCH($A135,$A$15:OFFSET($A135,-1,0),0)))))</f>
        <v>5</v>
      </c>
      <c r="N135" s="211" t="str">
        <f ca="1">IF($D135&lt;&gt;"Serviço","",IF(AUTOEVENTO="Manual",IF($A135=0,"&lt;-- defina o número do agrupador",OFFSET(EVENTOS!$D$14,$A135,0)),OFFSET($F$15,$A135,0)))</f>
        <v>PINTURAS E TEXTURAS</v>
      </c>
      <c r="O135" s="212"/>
      <c r="Q135" s="212"/>
      <c r="R135" s="213"/>
      <c r="S135" s="213"/>
      <c r="T135" s="213"/>
      <c r="U135" s="213"/>
      <c r="V135" s="213"/>
      <c r="W135" s="213"/>
      <c r="X135" s="213"/>
      <c r="Y135" s="213"/>
      <c r="Z135" s="214"/>
      <c r="AB135" s="592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3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3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3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3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3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3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3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3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4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5">
        <f ca="1">IF($D135&lt;&gt;"Serviço",0,IF(AND(AUTOEVENTO="Manual",$M135=1),0,IF(OFFSET(CRONOPLE!$F$14,$M135,AM$13)="",10^12,OFFSET(CRONOPLE!$F$14,$M135,AM$13))))</f>
        <v>2</v>
      </c>
      <c r="AN135" s="215">
        <f ca="1">IF($D135&lt;&gt;"Serviço",0,IF(AND(AUTOEVENTO="Manual",$M135=1),0,IF(OFFSET(CRONOPLE!$F$14,$M135,AN$13)="",10^12,OFFSET(CRONOPLE!$F$14,$M135,AN$13))))</f>
        <v>2</v>
      </c>
      <c r="AO135" s="215">
        <f ca="1">IF($D135&lt;&gt;"Serviço",0,IF(AND(AUTOEVENTO="Manual",$M135=1),0,IF(OFFSET(CRONOPLE!$F$14,$M135,AO$13)="",10^12,OFFSET(CRONOPLE!$F$14,$M135,AO$13))))</f>
        <v>3</v>
      </c>
      <c r="AP135" s="215">
        <f ca="1">IF($D135&lt;&gt;"Serviço",0,IF(AND(AUTOEVENTO="Manual",$M135=1),0,IF(OFFSET(CRONOPLE!$F$14,$M135,AP$13)="",10^12,OFFSET(CRONOPLE!$F$14,$M135,AP$13))))</f>
        <v>1000000000000</v>
      </c>
      <c r="AQ135" s="215">
        <f ca="1">IF($D135&lt;&gt;"Serviço",0,IF(AND(AUTOEVENTO="Manual",$M135=1),0,IF(OFFSET(CRONOPLE!$F$14,$M135,AQ$13)="",10^12,OFFSET(CRONOPLE!$F$14,$M135,AQ$13))))</f>
        <v>1000000000000</v>
      </c>
      <c r="AR135" s="215">
        <f ca="1">IF($D135&lt;&gt;"Serviço",0,IF(AND(AUTOEVENTO="Manual",$M135=1),0,IF(OFFSET(CRONOPLE!$F$14,$M135,AR$13)="",10^12,OFFSET(CRONOPLE!$F$14,$M135,AR$13))))</f>
        <v>1000000000000</v>
      </c>
      <c r="AS135" s="215">
        <f ca="1">IF($D135&lt;&gt;"Serviço",0,IF(AND(AUTOEVENTO="Manual",$M135=1),0,IF(OFFSET(CRONOPLE!$F$14,$M135,AS$13)="",10^12,OFFSET(CRONOPLE!$F$14,$M135,AS$13))))</f>
        <v>1000000000000</v>
      </c>
      <c r="AT135" s="215">
        <f ca="1">IF($D135&lt;&gt;"Serviço",0,IF(AND(AUTOEVENTO="Manual",$M135=1),0,IF(OFFSET(CRONOPLE!$F$14,$M135,AT$13)="",10^12,OFFSET(CRONOPLE!$F$14,$M135,AT$13))))</f>
        <v>1000000000000</v>
      </c>
      <c r="AU135" s="215">
        <f ca="1">IF($D135&lt;&gt;"Serviço",0,IF(AND(AUTOEVENTO="Manual",$M135=1),0,IF(OFFSET(CRONOPLE!$F$14,$M135,AU$13)="",10^12,OFFSET(CRONOPLE!$F$14,$M135,AU$13))))</f>
        <v>1000000000000</v>
      </c>
      <c r="AV135" s="215">
        <f ca="1">IF($D135&lt;&gt;"Serviço",0,IF(AND(AUTOEVENTO="Manual",$M135=1),0,IF(OFFSET(CRONOPLE!$F$14,$M135,AV$13)="",10^12,OFFSET(CRONOPLE!$F$14,$M135,AV$13))))</f>
        <v>1000000000000</v>
      </c>
      <c r="AX135" s="216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6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6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6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6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6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6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6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6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6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37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5" t="str">
        <f ca="1">OFFSET(ORÇAMENTO!N$15,ROW(D136)-ROW(D$15),0)</f>
        <v>Serviço</v>
      </c>
      <c r="E136" s="205" t="str">
        <f ca="1">OFFSET(ORÇAMENTO!O$15,ROW(E136)-ROW(E$15),0)</f>
        <v>-</v>
      </c>
      <c r="F136" s="206" t="str">
        <f ca="1">OFFSET(ORÇAMENTO!R$15,ROW(F136)-ROW(F$15),0)</f>
        <v>(abra o arquivo 'Referência 05-2023.xls)</v>
      </c>
      <c r="G136" s="207" t="str">
        <f ca="1">IF($D136&lt;&gt;"Serviço","",OFFSET(ORÇAMENTO!S$15,ROW(G136)-ROW(G$15),0))</f>
        <v>-</v>
      </c>
      <c r="H136" s="151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1"/>
      <c r="K136" s="208"/>
      <c r="L136" s="209" t="s">
        <v>254</v>
      </c>
      <c r="M136" s="210">
        <f ca="1">IF($D136&lt;&gt;"Serviço","",IF(AUTOEVENTO="manual",$A136,IF(ISERROR(MATCH($A136,$A$15:OFFSET($A136,-1,0),0)),MAX($M$15:OFFSET(M136,-1,0))+1,INDEX($M$15:OFFSET(M136,-1,0),MATCH($A136,$A$15:OFFSET($A136,-1,0),0)))))</f>
        <v>5</v>
      </c>
      <c r="N136" s="211" t="str">
        <f ca="1">IF($D136&lt;&gt;"Serviço","",IF(AUTOEVENTO="Manual",IF($A136=0,"&lt;-- defina o número do agrupador",OFFSET(EVENTOS!$D$14,$A136,0)),OFFSET($F$15,$A136,0)))</f>
        <v>PINTURAS E TEXTURAS</v>
      </c>
      <c r="O136" s="212"/>
      <c r="Q136" s="212"/>
      <c r="R136" s="213"/>
      <c r="S136" s="213"/>
      <c r="T136" s="213"/>
      <c r="U136" s="213"/>
      <c r="V136" s="213"/>
      <c r="W136" s="213"/>
      <c r="X136" s="213"/>
      <c r="Y136" s="213"/>
      <c r="Z136" s="214"/>
      <c r="AB136" s="592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3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3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3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3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3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3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3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3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4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5">
        <f ca="1">IF($D136&lt;&gt;"Serviço",0,IF(AND(AUTOEVENTO="Manual",$M136=1),0,IF(OFFSET(CRONOPLE!$F$14,$M136,AM$13)="",10^12,OFFSET(CRONOPLE!$F$14,$M136,AM$13))))</f>
        <v>2</v>
      </c>
      <c r="AN136" s="215">
        <f ca="1">IF($D136&lt;&gt;"Serviço",0,IF(AND(AUTOEVENTO="Manual",$M136=1),0,IF(OFFSET(CRONOPLE!$F$14,$M136,AN$13)="",10^12,OFFSET(CRONOPLE!$F$14,$M136,AN$13))))</f>
        <v>2</v>
      </c>
      <c r="AO136" s="215">
        <f ca="1">IF($D136&lt;&gt;"Serviço",0,IF(AND(AUTOEVENTO="Manual",$M136=1),0,IF(OFFSET(CRONOPLE!$F$14,$M136,AO$13)="",10^12,OFFSET(CRONOPLE!$F$14,$M136,AO$13))))</f>
        <v>3</v>
      </c>
      <c r="AP136" s="215">
        <f ca="1">IF($D136&lt;&gt;"Serviço",0,IF(AND(AUTOEVENTO="Manual",$M136=1),0,IF(OFFSET(CRONOPLE!$F$14,$M136,AP$13)="",10^12,OFFSET(CRONOPLE!$F$14,$M136,AP$13))))</f>
        <v>1000000000000</v>
      </c>
      <c r="AQ136" s="215">
        <f ca="1">IF($D136&lt;&gt;"Serviço",0,IF(AND(AUTOEVENTO="Manual",$M136=1),0,IF(OFFSET(CRONOPLE!$F$14,$M136,AQ$13)="",10^12,OFFSET(CRONOPLE!$F$14,$M136,AQ$13))))</f>
        <v>1000000000000</v>
      </c>
      <c r="AR136" s="215">
        <f ca="1">IF($D136&lt;&gt;"Serviço",0,IF(AND(AUTOEVENTO="Manual",$M136=1),0,IF(OFFSET(CRONOPLE!$F$14,$M136,AR$13)="",10^12,OFFSET(CRONOPLE!$F$14,$M136,AR$13))))</f>
        <v>1000000000000</v>
      </c>
      <c r="AS136" s="215">
        <f ca="1">IF($D136&lt;&gt;"Serviço",0,IF(AND(AUTOEVENTO="Manual",$M136=1),0,IF(OFFSET(CRONOPLE!$F$14,$M136,AS$13)="",10^12,OFFSET(CRONOPLE!$F$14,$M136,AS$13))))</f>
        <v>1000000000000</v>
      </c>
      <c r="AT136" s="215">
        <f ca="1">IF($D136&lt;&gt;"Serviço",0,IF(AND(AUTOEVENTO="Manual",$M136=1),0,IF(OFFSET(CRONOPLE!$F$14,$M136,AT$13)="",10^12,OFFSET(CRONOPLE!$F$14,$M136,AT$13))))</f>
        <v>1000000000000</v>
      </c>
      <c r="AU136" s="215">
        <f ca="1">IF($D136&lt;&gt;"Serviço",0,IF(AND(AUTOEVENTO="Manual",$M136=1),0,IF(OFFSET(CRONOPLE!$F$14,$M136,AU$13)="",10^12,OFFSET(CRONOPLE!$F$14,$M136,AU$13))))</f>
        <v>1000000000000</v>
      </c>
      <c r="AV136" s="215">
        <f ca="1">IF($D136&lt;&gt;"Serviço",0,IF(AND(AUTOEVENTO="Manual",$M136=1),0,IF(OFFSET(CRONOPLE!$F$14,$M136,AV$13)="",10^12,OFFSET(CRONOPLE!$F$14,$M136,AV$13))))</f>
        <v>1000000000000</v>
      </c>
      <c r="AX136" s="216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6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6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6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6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6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6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6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6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6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37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5" t="str">
        <f ca="1">OFFSET(ORÇAMENTO!N$15,ROW(D137)-ROW(D$15),0)</f>
        <v>Serviço</v>
      </c>
      <c r="E137" s="205" t="str">
        <f ca="1">OFFSET(ORÇAMENTO!O$15,ROW(E137)-ROW(E$15),0)</f>
        <v>-</v>
      </c>
      <c r="F137" s="206" t="str">
        <f ca="1">OFFSET(ORÇAMENTO!R$15,ROW(F137)-ROW(F$15),0)</f>
        <v>(abra o arquivo 'Referência 05-2023.xls)</v>
      </c>
      <c r="G137" s="207" t="str">
        <f ca="1">IF($D137&lt;&gt;"Serviço","",OFFSET(ORÇAMENTO!S$15,ROW(G137)-ROW(G$15),0))</f>
        <v>-</v>
      </c>
      <c r="H137" s="151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1"/>
      <c r="K137" s="208"/>
      <c r="L137" s="209" t="s">
        <v>254</v>
      </c>
      <c r="M137" s="210">
        <f ca="1">IF($D137&lt;&gt;"Serviço","",IF(AUTOEVENTO="manual",$A137,IF(ISERROR(MATCH($A137,$A$15:OFFSET($A137,-1,0),0)),MAX($M$15:OFFSET(M137,-1,0))+1,INDEX($M$15:OFFSET(M137,-1,0),MATCH($A137,$A$15:OFFSET($A137,-1,0),0)))))</f>
        <v>5</v>
      </c>
      <c r="N137" s="211" t="str">
        <f ca="1">IF($D137&lt;&gt;"Serviço","",IF(AUTOEVENTO="Manual",IF($A137=0,"&lt;-- defina o número do agrupador",OFFSET(EVENTOS!$D$14,$A137,0)),OFFSET($F$15,$A137,0)))</f>
        <v>PINTURAS E TEXTURAS</v>
      </c>
      <c r="O137" s="212"/>
      <c r="Q137" s="212"/>
      <c r="R137" s="213"/>
      <c r="S137" s="213"/>
      <c r="T137" s="213"/>
      <c r="U137" s="213"/>
      <c r="V137" s="213"/>
      <c r="W137" s="213"/>
      <c r="X137" s="213"/>
      <c r="Y137" s="213"/>
      <c r="Z137" s="214"/>
      <c r="AB137" s="592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3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3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3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3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3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3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3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3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4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5">
        <f ca="1">IF($D137&lt;&gt;"Serviço",0,IF(AND(AUTOEVENTO="Manual",$M137=1),0,IF(OFFSET(CRONOPLE!$F$14,$M137,AM$13)="",10^12,OFFSET(CRONOPLE!$F$14,$M137,AM$13))))</f>
        <v>2</v>
      </c>
      <c r="AN137" s="215">
        <f ca="1">IF($D137&lt;&gt;"Serviço",0,IF(AND(AUTOEVENTO="Manual",$M137=1),0,IF(OFFSET(CRONOPLE!$F$14,$M137,AN$13)="",10^12,OFFSET(CRONOPLE!$F$14,$M137,AN$13))))</f>
        <v>2</v>
      </c>
      <c r="AO137" s="215">
        <f ca="1">IF($D137&lt;&gt;"Serviço",0,IF(AND(AUTOEVENTO="Manual",$M137=1),0,IF(OFFSET(CRONOPLE!$F$14,$M137,AO$13)="",10^12,OFFSET(CRONOPLE!$F$14,$M137,AO$13))))</f>
        <v>3</v>
      </c>
      <c r="AP137" s="215">
        <f ca="1">IF($D137&lt;&gt;"Serviço",0,IF(AND(AUTOEVENTO="Manual",$M137=1),0,IF(OFFSET(CRONOPLE!$F$14,$M137,AP$13)="",10^12,OFFSET(CRONOPLE!$F$14,$M137,AP$13))))</f>
        <v>1000000000000</v>
      </c>
      <c r="AQ137" s="215">
        <f ca="1">IF($D137&lt;&gt;"Serviço",0,IF(AND(AUTOEVENTO="Manual",$M137=1),0,IF(OFFSET(CRONOPLE!$F$14,$M137,AQ$13)="",10^12,OFFSET(CRONOPLE!$F$14,$M137,AQ$13))))</f>
        <v>1000000000000</v>
      </c>
      <c r="AR137" s="215">
        <f ca="1">IF($D137&lt;&gt;"Serviço",0,IF(AND(AUTOEVENTO="Manual",$M137=1),0,IF(OFFSET(CRONOPLE!$F$14,$M137,AR$13)="",10^12,OFFSET(CRONOPLE!$F$14,$M137,AR$13))))</f>
        <v>1000000000000</v>
      </c>
      <c r="AS137" s="215">
        <f ca="1">IF($D137&lt;&gt;"Serviço",0,IF(AND(AUTOEVENTO="Manual",$M137=1),0,IF(OFFSET(CRONOPLE!$F$14,$M137,AS$13)="",10^12,OFFSET(CRONOPLE!$F$14,$M137,AS$13))))</f>
        <v>1000000000000</v>
      </c>
      <c r="AT137" s="215">
        <f ca="1">IF($D137&lt;&gt;"Serviço",0,IF(AND(AUTOEVENTO="Manual",$M137=1),0,IF(OFFSET(CRONOPLE!$F$14,$M137,AT$13)="",10^12,OFFSET(CRONOPLE!$F$14,$M137,AT$13))))</f>
        <v>1000000000000</v>
      </c>
      <c r="AU137" s="215">
        <f ca="1">IF($D137&lt;&gt;"Serviço",0,IF(AND(AUTOEVENTO="Manual",$M137=1),0,IF(OFFSET(CRONOPLE!$F$14,$M137,AU$13)="",10^12,OFFSET(CRONOPLE!$F$14,$M137,AU$13))))</f>
        <v>1000000000000</v>
      </c>
      <c r="AV137" s="215">
        <f ca="1">IF($D137&lt;&gt;"Serviço",0,IF(AND(AUTOEVENTO="Manual",$M137=1),0,IF(OFFSET(CRONOPLE!$F$14,$M137,AV$13)="",10^12,OFFSET(CRONOPLE!$F$14,$M137,AV$13))))</f>
        <v>1000000000000</v>
      </c>
      <c r="AX137" s="216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6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6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6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6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6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6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6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6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6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37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5" t="str">
        <f ca="1">OFFSET(ORÇAMENTO!N$15,ROW(D138)-ROW(D$15),0)</f>
        <v>Serviço</v>
      </c>
      <c r="E138" s="205" t="str">
        <f ca="1">OFFSET(ORÇAMENTO!O$15,ROW(E138)-ROW(E$15),0)</f>
        <v>-</v>
      </c>
      <c r="F138" s="206" t="str">
        <f ca="1">OFFSET(ORÇAMENTO!R$15,ROW(F138)-ROW(F$15),0)</f>
        <v>(abra o arquivo 'Referência 05-2023.xls)</v>
      </c>
      <c r="G138" s="207" t="str">
        <f ca="1">IF($D138&lt;&gt;"Serviço","",OFFSET(ORÇAMENTO!S$15,ROW(G138)-ROW(G$15),0))</f>
        <v>-</v>
      </c>
      <c r="H138" s="151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1"/>
      <c r="K138" s="208"/>
      <c r="L138" s="209" t="s">
        <v>254</v>
      </c>
      <c r="M138" s="210">
        <f ca="1">IF($D138&lt;&gt;"Serviço","",IF(AUTOEVENTO="manual",$A138,IF(ISERROR(MATCH($A138,$A$15:OFFSET($A138,-1,0),0)),MAX($M$15:OFFSET(M138,-1,0))+1,INDEX($M$15:OFFSET(M138,-1,0),MATCH($A138,$A$15:OFFSET($A138,-1,0),0)))))</f>
        <v>5</v>
      </c>
      <c r="N138" s="211" t="str">
        <f ca="1">IF($D138&lt;&gt;"Serviço","",IF(AUTOEVENTO="Manual",IF($A138=0,"&lt;-- defina o número do agrupador",OFFSET(EVENTOS!$D$14,$A138,0)),OFFSET($F$15,$A138,0)))</f>
        <v>PINTURAS E TEXTURAS</v>
      </c>
      <c r="O138" s="212"/>
      <c r="Q138" s="212"/>
      <c r="R138" s="213"/>
      <c r="S138" s="213"/>
      <c r="T138" s="213"/>
      <c r="U138" s="213"/>
      <c r="V138" s="213"/>
      <c r="W138" s="213"/>
      <c r="X138" s="213"/>
      <c r="Y138" s="213"/>
      <c r="Z138" s="214"/>
      <c r="AB138" s="592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3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3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3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3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3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3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3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3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4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5">
        <f ca="1">IF($D138&lt;&gt;"Serviço",0,IF(AND(AUTOEVENTO="Manual",$M138=1),0,IF(OFFSET(CRONOPLE!$F$14,$M138,AM$13)="",10^12,OFFSET(CRONOPLE!$F$14,$M138,AM$13))))</f>
        <v>2</v>
      </c>
      <c r="AN138" s="215">
        <f ca="1">IF($D138&lt;&gt;"Serviço",0,IF(AND(AUTOEVENTO="Manual",$M138=1),0,IF(OFFSET(CRONOPLE!$F$14,$M138,AN$13)="",10^12,OFFSET(CRONOPLE!$F$14,$M138,AN$13))))</f>
        <v>2</v>
      </c>
      <c r="AO138" s="215">
        <f ca="1">IF($D138&lt;&gt;"Serviço",0,IF(AND(AUTOEVENTO="Manual",$M138=1),0,IF(OFFSET(CRONOPLE!$F$14,$M138,AO$13)="",10^12,OFFSET(CRONOPLE!$F$14,$M138,AO$13))))</f>
        <v>3</v>
      </c>
      <c r="AP138" s="215">
        <f ca="1">IF($D138&lt;&gt;"Serviço",0,IF(AND(AUTOEVENTO="Manual",$M138=1),0,IF(OFFSET(CRONOPLE!$F$14,$M138,AP$13)="",10^12,OFFSET(CRONOPLE!$F$14,$M138,AP$13))))</f>
        <v>1000000000000</v>
      </c>
      <c r="AQ138" s="215">
        <f ca="1">IF($D138&lt;&gt;"Serviço",0,IF(AND(AUTOEVENTO="Manual",$M138=1),0,IF(OFFSET(CRONOPLE!$F$14,$M138,AQ$13)="",10^12,OFFSET(CRONOPLE!$F$14,$M138,AQ$13))))</f>
        <v>1000000000000</v>
      </c>
      <c r="AR138" s="215">
        <f ca="1">IF($D138&lt;&gt;"Serviço",0,IF(AND(AUTOEVENTO="Manual",$M138=1),0,IF(OFFSET(CRONOPLE!$F$14,$M138,AR$13)="",10^12,OFFSET(CRONOPLE!$F$14,$M138,AR$13))))</f>
        <v>1000000000000</v>
      </c>
      <c r="AS138" s="215">
        <f ca="1">IF($D138&lt;&gt;"Serviço",0,IF(AND(AUTOEVENTO="Manual",$M138=1),0,IF(OFFSET(CRONOPLE!$F$14,$M138,AS$13)="",10^12,OFFSET(CRONOPLE!$F$14,$M138,AS$13))))</f>
        <v>1000000000000</v>
      </c>
      <c r="AT138" s="215">
        <f ca="1">IF($D138&lt;&gt;"Serviço",0,IF(AND(AUTOEVENTO="Manual",$M138=1),0,IF(OFFSET(CRONOPLE!$F$14,$M138,AT$13)="",10^12,OFFSET(CRONOPLE!$F$14,$M138,AT$13))))</f>
        <v>1000000000000</v>
      </c>
      <c r="AU138" s="215">
        <f ca="1">IF($D138&lt;&gt;"Serviço",0,IF(AND(AUTOEVENTO="Manual",$M138=1),0,IF(OFFSET(CRONOPLE!$F$14,$M138,AU$13)="",10^12,OFFSET(CRONOPLE!$F$14,$M138,AU$13))))</f>
        <v>1000000000000</v>
      </c>
      <c r="AV138" s="215">
        <f ca="1">IF($D138&lt;&gt;"Serviço",0,IF(AND(AUTOEVENTO="Manual",$M138=1),0,IF(OFFSET(CRONOPLE!$F$14,$M138,AV$13)="",10^12,OFFSET(CRONOPLE!$F$14,$M138,AV$13))))</f>
        <v>1000000000000</v>
      </c>
      <c r="AX138" s="216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6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6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6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6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6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6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6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6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6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37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5" t="str">
        <f ca="1">OFFSET(ORÇAMENTO!N$15,ROW(D139)-ROW(D$15),0)</f>
        <v>Serviço</v>
      </c>
      <c r="E139" s="205" t="str">
        <f ca="1">OFFSET(ORÇAMENTO!O$15,ROW(E139)-ROW(E$15),0)</f>
        <v>-</v>
      </c>
      <c r="F139" s="206" t="str">
        <f ca="1">OFFSET(ORÇAMENTO!R$15,ROW(F139)-ROW(F$15),0)</f>
        <v>(abra o arquivo 'Referência 05-2023.xls)</v>
      </c>
      <c r="G139" s="207" t="str">
        <f ca="1">IF($D139&lt;&gt;"Serviço","",OFFSET(ORÇAMENTO!S$15,ROW(G139)-ROW(G$15),0))</f>
        <v>-</v>
      </c>
      <c r="H139" s="151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1"/>
      <c r="K139" s="208"/>
      <c r="L139" s="209" t="s">
        <v>254</v>
      </c>
      <c r="M139" s="210">
        <f ca="1">IF($D139&lt;&gt;"Serviço","",IF(AUTOEVENTO="manual",$A139,IF(ISERROR(MATCH($A139,$A$15:OFFSET($A139,-1,0),0)),MAX($M$15:OFFSET(M139,-1,0))+1,INDEX($M$15:OFFSET(M139,-1,0),MATCH($A139,$A$15:OFFSET($A139,-1,0),0)))))</f>
        <v>5</v>
      </c>
      <c r="N139" s="211" t="str">
        <f ca="1">IF($D139&lt;&gt;"Serviço","",IF(AUTOEVENTO="Manual",IF($A139=0,"&lt;-- defina o número do agrupador",OFFSET(EVENTOS!$D$14,$A139,0)),OFFSET($F$15,$A139,0)))</f>
        <v>PINTURAS E TEXTURAS</v>
      </c>
      <c r="O139" s="212"/>
      <c r="Q139" s="212"/>
      <c r="R139" s="213"/>
      <c r="S139" s="213"/>
      <c r="T139" s="213"/>
      <c r="U139" s="213"/>
      <c r="V139" s="213"/>
      <c r="W139" s="213"/>
      <c r="X139" s="213"/>
      <c r="Y139" s="213"/>
      <c r="Z139" s="214"/>
      <c r="AB139" s="592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3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3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3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3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3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3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3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3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4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5">
        <f ca="1">IF($D139&lt;&gt;"Serviço",0,IF(AND(AUTOEVENTO="Manual",$M139=1),0,IF(OFFSET(CRONOPLE!$F$14,$M139,AM$13)="",10^12,OFFSET(CRONOPLE!$F$14,$M139,AM$13))))</f>
        <v>2</v>
      </c>
      <c r="AN139" s="215">
        <f ca="1">IF($D139&lt;&gt;"Serviço",0,IF(AND(AUTOEVENTO="Manual",$M139=1),0,IF(OFFSET(CRONOPLE!$F$14,$M139,AN$13)="",10^12,OFFSET(CRONOPLE!$F$14,$M139,AN$13))))</f>
        <v>2</v>
      </c>
      <c r="AO139" s="215">
        <f ca="1">IF($D139&lt;&gt;"Serviço",0,IF(AND(AUTOEVENTO="Manual",$M139=1),0,IF(OFFSET(CRONOPLE!$F$14,$M139,AO$13)="",10^12,OFFSET(CRONOPLE!$F$14,$M139,AO$13))))</f>
        <v>3</v>
      </c>
      <c r="AP139" s="215">
        <f ca="1">IF($D139&lt;&gt;"Serviço",0,IF(AND(AUTOEVENTO="Manual",$M139=1),0,IF(OFFSET(CRONOPLE!$F$14,$M139,AP$13)="",10^12,OFFSET(CRONOPLE!$F$14,$M139,AP$13))))</f>
        <v>1000000000000</v>
      </c>
      <c r="AQ139" s="215">
        <f ca="1">IF($D139&lt;&gt;"Serviço",0,IF(AND(AUTOEVENTO="Manual",$M139=1),0,IF(OFFSET(CRONOPLE!$F$14,$M139,AQ$13)="",10^12,OFFSET(CRONOPLE!$F$14,$M139,AQ$13))))</f>
        <v>1000000000000</v>
      </c>
      <c r="AR139" s="215">
        <f ca="1">IF($D139&lt;&gt;"Serviço",0,IF(AND(AUTOEVENTO="Manual",$M139=1),0,IF(OFFSET(CRONOPLE!$F$14,$M139,AR$13)="",10^12,OFFSET(CRONOPLE!$F$14,$M139,AR$13))))</f>
        <v>1000000000000</v>
      </c>
      <c r="AS139" s="215">
        <f ca="1">IF($D139&lt;&gt;"Serviço",0,IF(AND(AUTOEVENTO="Manual",$M139=1),0,IF(OFFSET(CRONOPLE!$F$14,$M139,AS$13)="",10^12,OFFSET(CRONOPLE!$F$14,$M139,AS$13))))</f>
        <v>1000000000000</v>
      </c>
      <c r="AT139" s="215">
        <f ca="1">IF($D139&lt;&gt;"Serviço",0,IF(AND(AUTOEVENTO="Manual",$M139=1),0,IF(OFFSET(CRONOPLE!$F$14,$M139,AT$13)="",10^12,OFFSET(CRONOPLE!$F$14,$M139,AT$13))))</f>
        <v>1000000000000</v>
      </c>
      <c r="AU139" s="215">
        <f ca="1">IF($D139&lt;&gt;"Serviço",0,IF(AND(AUTOEVENTO="Manual",$M139=1),0,IF(OFFSET(CRONOPLE!$F$14,$M139,AU$13)="",10^12,OFFSET(CRONOPLE!$F$14,$M139,AU$13))))</f>
        <v>1000000000000</v>
      </c>
      <c r="AV139" s="215">
        <f ca="1">IF($D139&lt;&gt;"Serviço",0,IF(AND(AUTOEVENTO="Manual",$M139=1),0,IF(OFFSET(CRONOPLE!$F$14,$M139,AV$13)="",10^12,OFFSET(CRONOPLE!$F$14,$M139,AV$13))))</f>
        <v>1000000000000</v>
      </c>
      <c r="AX139" s="216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6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6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6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6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6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6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6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6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6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37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5" t="str">
        <f ca="1">OFFSET(ORÇAMENTO!N$15,ROW(D140)-ROW(D$15),0)</f>
        <v>Serviço</v>
      </c>
      <c r="E140" s="205" t="str">
        <f ca="1">OFFSET(ORÇAMENTO!O$15,ROW(E140)-ROW(E$15),0)</f>
        <v>-</v>
      </c>
      <c r="F140" s="206" t="str">
        <f ca="1">OFFSET(ORÇAMENTO!R$15,ROW(F140)-ROW(F$15),0)</f>
        <v>(abra o arquivo 'Referência 05-2023.xls)</v>
      </c>
      <c r="G140" s="207" t="str">
        <f ca="1">IF($D140&lt;&gt;"Serviço","",OFFSET(ORÇAMENTO!S$15,ROW(G140)-ROW(G$15),0))</f>
        <v>-</v>
      </c>
      <c r="H140" s="151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1"/>
      <c r="K140" s="208"/>
      <c r="L140" s="209" t="s">
        <v>254</v>
      </c>
      <c r="M140" s="210">
        <f ca="1">IF($D140&lt;&gt;"Serviço","",IF(AUTOEVENTO="manual",$A140,IF(ISERROR(MATCH($A140,$A$15:OFFSET($A140,-1,0),0)),MAX($M$15:OFFSET(M140,-1,0))+1,INDEX($M$15:OFFSET(M140,-1,0),MATCH($A140,$A$15:OFFSET($A140,-1,0),0)))))</f>
        <v>5</v>
      </c>
      <c r="N140" s="211" t="str">
        <f ca="1">IF($D140&lt;&gt;"Serviço","",IF(AUTOEVENTO="Manual",IF($A140=0,"&lt;-- defina o número do agrupador",OFFSET(EVENTOS!$D$14,$A140,0)),OFFSET($F$15,$A140,0)))</f>
        <v>PINTURAS E TEXTURAS</v>
      </c>
      <c r="O140" s="212"/>
      <c r="Q140" s="212"/>
      <c r="R140" s="213"/>
      <c r="S140" s="213"/>
      <c r="T140" s="213"/>
      <c r="U140" s="213"/>
      <c r="V140" s="213"/>
      <c r="W140" s="213"/>
      <c r="X140" s="213"/>
      <c r="Y140" s="213"/>
      <c r="Z140" s="214"/>
      <c r="AB140" s="592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3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3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3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3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3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3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3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3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4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5">
        <f ca="1">IF($D140&lt;&gt;"Serviço",0,IF(AND(AUTOEVENTO="Manual",$M140=1),0,IF(OFFSET(CRONOPLE!$F$14,$M140,AM$13)="",10^12,OFFSET(CRONOPLE!$F$14,$M140,AM$13))))</f>
        <v>2</v>
      </c>
      <c r="AN140" s="215">
        <f ca="1">IF($D140&lt;&gt;"Serviço",0,IF(AND(AUTOEVENTO="Manual",$M140=1),0,IF(OFFSET(CRONOPLE!$F$14,$M140,AN$13)="",10^12,OFFSET(CRONOPLE!$F$14,$M140,AN$13))))</f>
        <v>2</v>
      </c>
      <c r="AO140" s="215">
        <f ca="1">IF($D140&lt;&gt;"Serviço",0,IF(AND(AUTOEVENTO="Manual",$M140=1),0,IF(OFFSET(CRONOPLE!$F$14,$M140,AO$13)="",10^12,OFFSET(CRONOPLE!$F$14,$M140,AO$13))))</f>
        <v>3</v>
      </c>
      <c r="AP140" s="215">
        <f ca="1">IF($D140&lt;&gt;"Serviço",0,IF(AND(AUTOEVENTO="Manual",$M140=1),0,IF(OFFSET(CRONOPLE!$F$14,$M140,AP$13)="",10^12,OFFSET(CRONOPLE!$F$14,$M140,AP$13))))</f>
        <v>1000000000000</v>
      </c>
      <c r="AQ140" s="215">
        <f ca="1">IF($D140&lt;&gt;"Serviço",0,IF(AND(AUTOEVENTO="Manual",$M140=1),0,IF(OFFSET(CRONOPLE!$F$14,$M140,AQ$13)="",10^12,OFFSET(CRONOPLE!$F$14,$M140,AQ$13))))</f>
        <v>1000000000000</v>
      </c>
      <c r="AR140" s="215">
        <f ca="1">IF($D140&lt;&gt;"Serviço",0,IF(AND(AUTOEVENTO="Manual",$M140=1),0,IF(OFFSET(CRONOPLE!$F$14,$M140,AR$13)="",10^12,OFFSET(CRONOPLE!$F$14,$M140,AR$13))))</f>
        <v>1000000000000</v>
      </c>
      <c r="AS140" s="215">
        <f ca="1">IF($D140&lt;&gt;"Serviço",0,IF(AND(AUTOEVENTO="Manual",$M140=1),0,IF(OFFSET(CRONOPLE!$F$14,$M140,AS$13)="",10^12,OFFSET(CRONOPLE!$F$14,$M140,AS$13))))</f>
        <v>1000000000000</v>
      </c>
      <c r="AT140" s="215">
        <f ca="1">IF($D140&lt;&gt;"Serviço",0,IF(AND(AUTOEVENTO="Manual",$M140=1),0,IF(OFFSET(CRONOPLE!$F$14,$M140,AT$13)="",10^12,OFFSET(CRONOPLE!$F$14,$M140,AT$13))))</f>
        <v>1000000000000</v>
      </c>
      <c r="AU140" s="215">
        <f ca="1">IF($D140&lt;&gt;"Serviço",0,IF(AND(AUTOEVENTO="Manual",$M140=1),0,IF(OFFSET(CRONOPLE!$F$14,$M140,AU$13)="",10^12,OFFSET(CRONOPLE!$F$14,$M140,AU$13))))</f>
        <v>1000000000000</v>
      </c>
      <c r="AV140" s="215">
        <f ca="1">IF($D140&lt;&gt;"Serviço",0,IF(AND(AUTOEVENTO="Manual",$M140=1),0,IF(OFFSET(CRONOPLE!$F$14,$M140,AV$13)="",10^12,OFFSET(CRONOPLE!$F$14,$M140,AV$13))))</f>
        <v>1000000000000</v>
      </c>
      <c r="AX140" s="216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6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6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6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6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6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6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6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6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6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37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5" t="str">
        <f ca="1">OFFSET(ORÇAMENTO!N$15,ROW(D141)-ROW(D$15),0)</f>
        <v>Serviço</v>
      </c>
      <c r="E141" s="205" t="str">
        <f ca="1">OFFSET(ORÇAMENTO!O$15,ROW(E141)-ROW(E$15),0)</f>
        <v>-</v>
      </c>
      <c r="F141" s="206" t="str">
        <f ca="1">OFFSET(ORÇAMENTO!R$15,ROW(F141)-ROW(F$15),0)</f>
        <v>(abra o arquivo 'Referência 05-2023.xls)</v>
      </c>
      <c r="G141" s="207" t="str">
        <f ca="1">IF($D141&lt;&gt;"Serviço","",OFFSET(ORÇAMENTO!S$15,ROW(G141)-ROW(G$15),0))</f>
        <v>-</v>
      </c>
      <c r="H141" s="151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1"/>
      <c r="K141" s="208"/>
      <c r="L141" s="209" t="s">
        <v>254</v>
      </c>
      <c r="M141" s="210">
        <f ca="1">IF($D141&lt;&gt;"Serviço","",IF(AUTOEVENTO="manual",$A141,IF(ISERROR(MATCH($A141,$A$15:OFFSET($A141,-1,0),0)),MAX($M$15:OFFSET(M141,-1,0))+1,INDEX($M$15:OFFSET(M141,-1,0),MATCH($A141,$A$15:OFFSET($A141,-1,0),0)))))</f>
        <v>5</v>
      </c>
      <c r="N141" s="211" t="str">
        <f ca="1">IF($D141&lt;&gt;"Serviço","",IF(AUTOEVENTO="Manual",IF($A141=0,"&lt;-- defina o número do agrupador",OFFSET(EVENTOS!$D$14,$A141,0)),OFFSET($F$15,$A141,0)))</f>
        <v>PINTURAS E TEXTURAS</v>
      </c>
      <c r="O141" s="212"/>
      <c r="Q141" s="212"/>
      <c r="R141" s="213"/>
      <c r="S141" s="213"/>
      <c r="T141" s="213"/>
      <c r="U141" s="213"/>
      <c r="V141" s="213"/>
      <c r="W141" s="213"/>
      <c r="X141" s="213"/>
      <c r="Y141" s="213"/>
      <c r="Z141" s="214"/>
      <c r="AB141" s="592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3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3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3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3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3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3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3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3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4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5">
        <f ca="1">IF($D141&lt;&gt;"Serviço",0,IF(AND(AUTOEVENTO="Manual",$M141=1),0,IF(OFFSET(CRONOPLE!$F$14,$M141,AM$13)="",10^12,OFFSET(CRONOPLE!$F$14,$M141,AM$13))))</f>
        <v>2</v>
      </c>
      <c r="AN141" s="215">
        <f ca="1">IF($D141&lt;&gt;"Serviço",0,IF(AND(AUTOEVENTO="Manual",$M141=1),0,IF(OFFSET(CRONOPLE!$F$14,$M141,AN$13)="",10^12,OFFSET(CRONOPLE!$F$14,$M141,AN$13))))</f>
        <v>2</v>
      </c>
      <c r="AO141" s="215">
        <f ca="1">IF($D141&lt;&gt;"Serviço",0,IF(AND(AUTOEVENTO="Manual",$M141=1),0,IF(OFFSET(CRONOPLE!$F$14,$M141,AO$13)="",10^12,OFFSET(CRONOPLE!$F$14,$M141,AO$13))))</f>
        <v>3</v>
      </c>
      <c r="AP141" s="215">
        <f ca="1">IF($D141&lt;&gt;"Serviço",0,IF(AND(AUTOEVENTO="Manual",$M141=1),0,IF(OFFSET(CRONOPLE!$F$14,$M141,AP$13)="",10^12,OFFSET(CRONOPLE!$F$14,$M141,AP$13))))</f>
        <v>1000000000000</v>
      </c>
      <c r="AQ141" s="215">
        <f ca="1">IF($D141&lt;&gt;"Serviço",0,IF(AND(AUTOEVENTO="Manual",$M141=1),0,IF(OFFSET(CRONOPLE!$F$14,$M141,AQ$13)="",10^12,OFFSET(CRONOPLE!$F$14,$M141,AQ$13))))</f>
        <v>1000000000000</v>
      </c>
      <c r="AR141" s="215">
        <f ca="1">IF($D141&lt;&gt;"Serviço",0,IF(AND(AUTOEVENTO="Manual",$M141=1),0,IF(OFFSET(CRONOPLE!$F$14,$M141,AR$13)="",10^12,OFFSET(CRONOPLE!$F$14,$M141,AR$13))))</f>
        <v>1000000000000</v>
      </c>
      <c r="AS141" s="215">
        <f ca="1">IF($D141&lt;&gt;"Serviço",0,IF(AND(AUTOEVENTO="Manual",$M141=1),0,IF(OFFSET(CRONOPLE!$F$14,$M141,AS$13)="",10^12,OFFSET(CRONOPLE!$F$14,$M141,AS$13))))</f>
        <v>1000000000000</v>
      </c>
      <c r="AT141" s="215">
        <f ca="1">IF($D141&lt;&gt;"Serviço",0,IF(AND(AUTOEVENTO="Manual",$M141=1),0,IF(OFFSET(CRONOPLE!$F$14,$M141,AT$13)="",10^12,OFFSET(CRONOPLE!$F$14,$M141,AT$13))))</f>
        <v>1000000000000</v>
      </c>
      <c r="AU141" s="215">
        <f ca="1">IF($D141&lt;&gt;"Serviço",0,IF(AND(AUTOEVENTO="Manual",$M141=1),0,IF(OFFSET(CRONOPLE!$F$14,$M141,AU$13)="",10^12,OFFSET(CRONOPLE!$F$14,$M141,AU$13))))</f>
        <v>1000000000000</v>
      </c>
      <c r="AV141" s="215">
        <f ca="1">IF($D141&lt;&gt;"Serviço",0,IF(AND(AUTOEVENTO="Manual",$M141=1),0,IF(OFFSET(CRONOPLE!$F$14,$M141,AV$13)="",10^12,OFFSET(CRONOPLE!$F$14,$M141,AV$13))))</f>
        <v>1000000000000</v>
      </c>
      <c r="AX141" s="216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6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6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6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6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6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6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6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6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6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37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5" t="str">
        <f ca="1">OFFSET(ORÇAMENTO!N$15,ROW(D142)-ROW(D$15),0)</f>
        <v>Serviço</v>
      </c>
      <c r="E142" s="205" t="str">
        <f ca="1">OFFSET(ORÇAMENTO!O$15,ROW(E142)-ROW(E$15),0)</f>
        <v>-</v>
      </c>
      <c r="F142" s="206" t="str">
        <f ca="1">OFFSET(ORÇAMENTO!R$15,ROW(F142)-ROW(F$15),0)</f>
        <v>(abra o arquivo 'Referência 05-2023.xls)</v>
      </c>
      <c r="G142" s="207" t="str">
        <f ca="1">IF($D142&lt;&gt;"Serviço","",OFFSET(ORÇAMENTO!S$15,ROW(G142)-ROW(G$15),0))</f>
        <v>-</v>
      </c>
      <c r="H142" s="151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1"/>
      <c r="K142" s="208"/>
      <c r="L142" s="209" t="s">
        <v>254</v>
      </c>
      <c r="M142" s="210">
        <f ca="1">IF($D142&lt;&gt;"Serviço","",IF(AUTOEVENTO="manual",$A142,IF(ISERROR(MATCH($A142,$A$15:OFFSET($A142,-1,0),0)),MAX($M$15:OFFSET(M142,-1,0))+1,INDEX($M$15:OFFSET(M142,-1,0),MATCH($A142,$A$15:OFFSET($A142,-1,0),0)))))</f>
        <v>5</v>
      </c>
      <c r="N142" s="211" t="str">
        <f ca="1">IF($D142&lt;&gt;"Serviço","",IF(AUTOEVENTO="Manual",IF($A142=0,"&lt;-- defina o número do agrupador",OFFSET(EVENTOS!$D$14,$A142,0)),OFFSET($F$15,$A142,0)))</f>
        <v>PINTURAS E TEXTURAS</v>
      </c>
      <c r="O142" s="212"/>
      <c r="Q142" s="212"/>
      <c r="R142" s="213"/>
      <c r="S142" s="213"/>
      <c r="T142" s="213"/>
      <c r="U142" s="213"/>
      <c r="V142" s="213"/>
      <c r="W142" s="213"/>
      <c r="X142" s="213"/>
      <c r="Y142" s="213"/>
      <c r="Z142" s="214"/>
      <c r="AB142" s="592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3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3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3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3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3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3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3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3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4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5">
        <f ca="1">IF($D142&lt;&gt;"Serviço",0,IF(AND(AUTOEVENTO="Manual",$M142=1),0,IF(OFFSET(CRONOPLE!$F$14,$M142,AM$13)="",10^12,OFFSET(CRONOPLE!$F$14,$M142,AM$13))))</f>
        <v>2</v>
      </c>
      <c r="AN142" s="215">
        <f ca="1">IF($D142&lt;&gt;"Serviço",0,IF(AND(AUTOEVENTO="Manual",$M142=1),0,IF(OFFSET(CRONOPLE!$F$14,$M142,AN$13)="",10^12,OFFSET(CRONOPLE!$F$14,$M142,AN$13))))</f>
        <v>2</v>
      </c>
      <c r="AO142" s="215">
        <f ca="1">IF($D142&lt;&gt;"Serviço",0,IF(AND(AUTOEVENTO="Manual",$M142=1),0,IF(OFFSET(CRONOPLE!$F$14,$M142,AO$13)="",10^12,OFFSET(CRONOPLE!$F$14,$M142,AO$13))))</f>
        <v>3</v>
      </c>
      <c r="AP142" s="215">
        <f ca="1">IF($D142&lt;&gt;"Serviço",0,IF(AND(AUTOEVENTO="Manual",$M142=1),0,IF(OFFSET(CRONOPLE!$F$14,$M142,AP$13)="",10^12,OFFSET(CRONOPLE!$F$14,$M142,AP$13))))</f>
        <v>1000000000000</v>
      </c>
      <c r="AQ142" s="215">
        <f ca="1">IF($D142&lt;&gt;"Serviço",0,IF(AND(AUTOEVENTO="Manual",$M142=1),0,IF(OFFSET(CRONOPLE!$F$14,$M142,AQ$13)="",10^12,OFFSET(CRONOPLE!$F$14,$M142,AQ$13))))</f>
        <v>1000000000000</v>
      </c>
      <c r="AR142" s="215">
        <f ca="1">IF($D142&lt;&gt;"Serviço",0,IF(AND(AUTOEVENTO="Manual",$M142=1),0,IF(OFFSET(CRONOPLE!$F$14,$M142,AR$13)="",10^12,OFFSET(CRONOPLE!$F$14,$M142,AR$13))))</f>
        <v>1000000000000</v>
      </c>
      <c r="AS142" s="215">
        <f ca="1">IF($D142&lt;&gt;"Serviço",0,IF(AND(AUTOEVENTO="Manual",$M142=1),0,IF(OFFSET(CRONOPLE!$F$14,$M142,AS$13)="",10^12,OFFSET(CRONOPLE!$F$14,$M142,AS$13))))</f>
        <v>1000000000000</v>
      </c>
      <c r="AT142" s="215">
        <f ca="1">IF($D142&lt;&gt;"Serviço",0,IF(AND(AUTOEVENTO="Manual",$M142=1),0,IF(OFFSET(CRONOPLE!$F$14,$M142,AT$13)="",10^12,OFFSET(CRONOPLE!$F$14,$M142,AT$13))))</f>
        <v>1000000000000</v>
      </c>
      <c r="AU142" s="215">
        <f ca="1">IF($D142&lt;&gt;"Serviço",0,IF(AND(AUTOEVENTO="Manual",$M142=1),0,IF(OFFSET(CRONOPLE!$F$14,$M142,AU$13)="",10^12,OFFSET(CRONOPLE!$F$14,$M142,AU$13))))</f>
        <v>1000000000000</v>
      </c>
      <c r="AV142" s="215">
        <f ca="1">IF($D142&lt;&gt;"Serviço",0,IF(AND(AUTOEVENTO="Manual",$M142=1),0,IF(OFFSET(CRONOPLE!$F$14,$M142,AV$13)="",10^12,OFFSET(CRONOPLE!$F$14,$M142,AV$13))))</f>
        <v>1000000000000</v>
      </c>
      <c r="AX142" s="216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6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6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6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6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6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6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6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6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6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37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5" t="str">
        <f ca="1">OFFSET(ORÇAMENTO!N$15,ROW(D143)-ROW(D$15),0)</f>
        <v>Serviço</v>
      </c>
      <c r="E143" s="205" t="str">
        <f ca="1">OFFSET(ORÇAMENTO!O$15,ROW(E143)-ROW(E$15),0)</f>
        <v>-</v>
      </c>
      <c r="F143" s="206" t="str">
        <f ca="1">OFFSET(ORÇAMENTO!R$15,ROW(F143)-ROW(F$15),0)</f>
        <v>(abra o arquivo 'Referência 05-2023.xls)</v>
      </c>
      <c r="G143" s="207" t="str">
        <f ca="1">IF($D143&lt;&gt;"Serviço","",OFFSET(ORÇAMENTO!S$15,ROW(G143)-ROW(G$15),0))</f>
        <v>-</v>
      </c>
      <c r="H143" s="151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1"/>
      <c r="K143" s="208"/>
      <c r="L143" s="209" t="s">
        <v>254</v>
      </c>
      <c r="M143" s="210">
        <f ca="1">IF($D143&lt;&gt;"Serviço","",IF(AUTOEVENTO="manual",$A143,IF(ISERROR(MATCH($A143,$A$15:OFFSET($A143,-1,0),0)),MAX($M$15:OFFSET(M143,-1,0))+1,INDEX($M$15:OFFSET(M143,-1,0),MATCH($A143,$A$15:OFFSET($A143,-1,0),0)))))</f>
        <v>5</v>
      </c>
      <c r="N143" s="211" t="str">
        <f ca="1">IF($D143&lt;&gt;"Serviço","",IF(AUTOEVENTO="Manual",IF($A143=0,"&lt;-- defina o número do agrupador",OFFSET(EVENTOS!$D$14,$A143,0)),OFFSET($F$15,$A143,0)))</f>
        <v>PINTURAS E TEXTURAS</v>
      </c>
      <c r="O143" s="212"/>
      <c r="Q143" s="212"/>
      <c r="R143" s="213"/>
      <c r="S143" s="213"/>
      <c r="T143" s="213"/>
      <c r="U143" s="213"/>
      <c r="V143" s="213"/>
      <c r="W143" s="213"/>
      <c r="X143" s="213"/>
      <c r="Y143" s="213"/>
      <c r="Z143" s="214"/>
      <c r="AB143" s="592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3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3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3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3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3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3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3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3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4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5">
        <f ca="1">IF($D143&lt;&gt;"Serviço",0,IF(AND(AUTOEVENTO="Manual",$M143=1),0,IF(OFFSET(CRONOPLE!$F$14,$M143,AM$13)="",10^12,OFFSET(CRONOPLE!$F$14,$M143,AM$13))))</f>
        <v>2</v>
      </c>
      <c r="AN143" s="215">
        <f ca="1">IF($D143&lt;&gt;"Serviço",0,IF(AND(AUTOEVENTO="Manual",$M143=1),0,IF(OFFSET(CRONOPLE!$F$14,$M143,AN$13)="",10^12,OFFSET(CRONOPLE!$F$14,$M143,AN$13))))</f>
        <v>2</v>
      </c>
      <c r="AO143" s="215">
        <f ca="1">IF($D143&lt;&gt;"Serviço",0,IF(AND(AUTOEVENTO="Manual",$M143=1),0,IF(OFFSET(CRONOPLE!$F$14,$M143,AO$13)="",10^12,OFFSET(CRONOPLE!$F$14,$M143,AO$13))))</f>
        <v>3</v>
      </c>
      <c r="AP143" s="215">
        <f ca="1">IF($D143&lt;&gt;"Serviço",0,IF(AND(AUTOEVENTO="Manual",$M143=1),0,IF(OFFSET(CRONOPLE!$F$14,$M143,AP$13)="",10^12,OFFSET(CRONOPLE!$F$14,$M143,AP$13))))</f>
        <v>1000000000000</v>
      </c>
      <c r="AQ143" s="215">
        <f ca="1">IF($D143&lt;&gt;"Serviço",0,IF(AND(AUTOEVENTO="Manual",$M143=1),0,IF(OFFSET(CRONOPLE!$F$14,$M143,AQ$13)="",10^12,OFFSET(CRONOPLE!$F$14,$M143,AQ$13))))</f>
        <v>1000000000000</v>
      </c>
      <c r="AR143" s="215">
        <f ca="1">IF($D143&lt;&gt;"Serviço",0,IF(AND(AUTOEVENTO="Manual",$M143=1),0,IF(OFFSET(CRONOPLE!$F$14,$M143,AR$13)="",10^12,OFFSET(CRONOPLE!$F$14,$M143,AR$13))))</f>
        <v>1000000000000</v>
      </c>
      <c r="AS143" s="215">
        <f ca="1">IF($D143&lt;&gt;"Serviço",0,IF(AND(AUTOEVENTO="Manual",$M143=1),0,IF(OFFSET(CRONOPLE!$F$14,$M143,AS$13)="",10^12,OFFSET(CRONOPLE!$F$14,$M143,AS$13))))</f>
        <v>1000000000000</v>
      </c>
      <c r="AT143" s="215">
        <f ca="1">IF($D143&lt;&gt;"Serviço",0,IF(AND(AUTOEVENTO="Manual",$M143=1),0,IF(OFFSET(CRONOPLE!$F$14,$M143,AT$13)="",10^12,OFFSET(CRONOPLE!$F$14,$M143,AT$13))))</f>
        <v>1000000000000</v>
      </c>
      <c r="AU143" s="215">
        <f ca="1">IF($D143&lt;&gt;"Serviço",0,IF(AND(AUTOEVENTO="Manual",$M143=1),0,IF(OFFSET(CRONOPLE!$F$14,$M143,AU$13)="",10^12,OFFSET(CRONOPLE!$F$14,$M143,AU$13))))</f>
        <v>1000000000000</v>
      </c>
      <c r="AV143" s="215">
        <f ca="1">IF($D143&lt;&gt;"Serviço",0,IF(AND(AUTOEVENTO="Manual",$M143=1),0,IF(OFFSET(CRONOPLE!$F$14,$M143,AV$13)="",10^12,OFFSET(CRONOPLE!$F$14,$M143,AV$13))))</f>
        <v>1000000000000</v>
      </c>
      <c r="AX143" s="216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6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6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6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6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6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6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6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6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6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37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5" t="str">
        <f ca="1">OFFSET(ORÇAMENTO!N$15,ROW(D144)-ROW(D$15),0)</f>
        <v>Serviço</v>
      </c>
      <c r="E144" s="205" t="str">
        <f ca="1">OFFSET(ORÇAMENTO!O$15,ROW(E144)-ROW(E$15),0)</f>
        <v>-</v>
      </c>
      <c r="F144" s="206" t="str">
        <f ca="1">OFFSET(ORÇAMENTO!R$15,ROW(F144)-ROW(F$15),0)</f>
        <v>(abra o arquivo 'Referência 05-2023.xls)</v>
      </c>
      <c r="G144" s="207" t="str">
        <f ca="1">IF($D144&lt;&gt;"Serviço","",OFFSET(ORÇAMENTO!S$15,ROW(G144)-ROW(G$15),0))</f>
        <v>-</v>
      </c>
      <c r="H144" s="151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1"/>
      <c r="K144" s="208"/>
      <c r="L144" s="209" t="s">
        <v>254</v>
      </c>
      <c r="M144" s="210">
        <f ca="1">IF($D144&lt;&gt;"Serviço","",IF(AUTOEVENTO="manual",$A144,IF(ISERROR(MATCH($A144,$A$15:OFFSET($A144,-1,0),0)),MAX($M$15:OFFSET(M144,-1,0))+1,INDEX($M$15:OFFSET(M144,-1,0),MATCH($A144,$A$15:OFFSET($A144,-1,0),0)))))</f>
        <v>5</v>
      </c>
      <c r="N144" s="211" t="str">
        <f ca="1">IF($D144&lt;&gt;"Serviço","",IF(AUTOEVENTO="Manual",IF($A144=0,"&lt;-- defina o número do agrupador",OFFSET(EVENTOS!$D$14,$A144,0)),OFFSET($F$15,$A144,0)))</f>
        <v>PINTURAS E TEXTURAS</v>
      </c>
      <c r="O144" s="212"/>
      <c r="Q144" s="212"/>
      <c r="R144" s="213"/>
      <c r="S144" s="213"/>
      <c r="T144" s="213"/>
      <c r="U144" s="213"/>
      <c r="V144" s="213"/>
      <c r="W144" s="213"/>
      <c r="X144" s="213"/>
      <c r="Y144" s="213"/>
      <c r="Z144" s="214"/>
      <c r="AB144" s="592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3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3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3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3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3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3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3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3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4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5">
        <f ca="1">IF($D144&lt;&gt;"Serviço",0,IF(AND(AUTOEVENTO="Manual",$M144=1),0,IF(OFFSET(CRONOPLE!$F$14,$M144,AM$13)="",10^12,OFFSET(CRONOPLE!$F$14,$M144,AM$13))))</f>
        <v>2</v>
      </c>
      <c r="AN144" s="215">
        <f ca="1">IF($D144&lt;&gt;"Serviço",0,IF(AND(AUTOEVENTO="Manual",$M144=1),0,IF(OFFSET(CRONOPLE!$F$14,$M144,AN$13)="",10^12,OFFSET(CRONOPLE!$F$14,$M144,AN$13))))</f>
        <v>2</v>
      </c>
      <c r="AO144" s="215">
        <f ca="1">IF($D144&lt;&gt;"Serviço",0,IF(AND(AUTOEVENTO="Manual",$M144=1),0,IF(OFFSET(CRONOPLE!$F$14,$M144,AO$13)="",10^12,OFFSET(CRONOPLE!$F$14,$M144,AO$13))))</f>
        <v>3</v>
      </c>
      <c r="AP144" s="215">
        <f ca="1">IF($D144&lt;&gt;"Serviço",0,IF(AND(AUTOEVENTO="Manual",$M144=1),0,IF(OFFSET(CRONOPLE!$F$14,$M144,AP$13)="",10^12,OFFSET(CRONOPLE!$F$14,$M144,AP$13))))</f>
        <v>1000000000000</v>
      </c>
      <c r="AQ144" s="215">
        <f ca="1">IF($D144&lt;&gt;"Serviço",0,IF(AND(AUTOEVENTO="Manual",$M144=1),0,IF(OFFSET(CRONOPLE!$F$14,$M144,AQ$13)="",10^12,OFFSET(CRONOPLE!$F$14,$M144,AQ$13))))</f>
        <v>1000000000000</v>
      </c>
      <c r="AR144" s="215">
        <f ca="1">IF($D144&lt;&gt;"Serviço",0,IF(AND(AUTOEVENTO="Manual",$M144=1),0,IF(OFFSET(CRONOPLE!$F$14,$M144,AR$13)="",10^12,OFFSET(CRONOPLE!$F$14,$M144,AR$13))))</f>
        <v>1000000000000</v>
      </c>
      <c r="AS144" s="215">
        <f ca="1">IF($D144&lt;&gt;"Serviço",0,IF(AND(AUTOEVENTO="Manual",$M144=1),0,IF(OFFSET(CRONOPLE!$F$14,$M144,AS$13)="",10^12,OFFSET(CRONOPLE!$F$14,$M144,AS$13))))</f>
        <v>1000000000000</v>
      </c>
      <c r="AT144" s="215">
        <f ca="1">IF($D144&lt;&gt;"Serviço",0,IF(AND(AUTOEVENTO="Manual",$M144=1),0,IF(OFFSET(CRONOPLE!$F$14,$M144,AT$13)="",10^12,OFFSET(CRONOPLE!$F$14,$M144,AT$13))))</f>
        <v>1000000000000</v>
      </c>
      <c r="AU144" s="215">
        <f ca="1">IF($D144&lt;&gt;"Serviço",0,IF(AND(AUTOEVENTO="Manual",$M144=1),0,IF(OFFSET(CRONOPLE!$F$14,$M144,AU$13)="",10^12,OFFSET(CRONOPLE!$F$14,$M144,AU$13))))</f>
        <v>1000000000000</v>
      </c>
      <c r="AV144" s="215">
        <f ca="1">IF($D144&lt;&gt;"Serviço",0,IF(AND(AUTOEVENTO="Manual",$M144=1),0,IF(OFFSET(CRONOPLE!$F$14,$M144,AV$13)="",10^12,OFFSET(CRONOPLE!$F$14,$M144,AV$13))))</f>
        <v>1000000000000</v>
      </c>
      <c r="AX144" s="216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6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6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6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6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6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6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6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6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6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37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5" t="str">
        <f ca="1">OFFSET(ORÇAMENTO!N$15,ROW(D145)-ROW(D$15),0)</f>
        <v>Serviço</v>
      </c>
      <c r="E145" s="205" t="str">
        <f ca="1">OFFSET(ORÇAMENTO!O$15,ROW(E145)-ROW(E$15),0)</f>
        <v>-</v>
      </c>
      <c r="F145" s="206" t="str">
        <f ca="1">OFFSET(ORÇAMENTO!R$15,ROW(F145)-ROW(F$15),0)</f>
        <v>(abra o arquivo 'Referência 05-2023.xls)</v>
      </c>
      <c r="G145" s="207" t="str">
        <f ca="1">IF($D145&lt;&gt;"Serviço","",OFFSET(ORÇAMENTO!S$15,ROW(G145)-ROW(G$15),0))</f>
        <v>-</v>
      </c>
      <c r="H145" s="151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1"/>
      <c r="K145" s="208"/>
      <c r="L145" s="209" t="s">
        <v>254</v>
      </c>
      <c r="M145" s="210">
        <f ca="1">IF($D145&lt;&gt;"Serviço","",IF(AUTOEVENTO="manual",$A145,IF(ISERROR(MATCH($A145,$A$15:OFFSET($A145,-1,0),0)),MAX($M$15:OFFSET(M145,-1,0))+1,INDEX($M$15:OFFSET(M145,-1,0),MATCH($A145,$A$15:OFFSET($A145,-1,0),0)))))</f>
        <v>5</v>
      </c>
      <c r="N145" s="211" t="str">
        <f ca="1">IF($D145&lt;&gt;"Serviço","",IF(AUTOEVENTO="Manual",IF($A145=0,"&lt;-- defina o número do agrupador",OFFSET(EVENTOS!$D$14,$A145,0)),OFFSET($F$15,$A145,0)))</f>
        <v>PINTURAS E TEXTURAS</v>
      </c>
      <c r="O145" s="212"/>
      <c r="Q145" s="212"/>
      <c r="R145" s="213"/>
      <c r="S145" s="213"/>
      <c r="T145" s="213"/>
      <c r="U145" s="213"/>
      <c r="V145" s="213"/>
      <c r="W145" s="213"/>
      <c r="X145" s="213"/>
      <c r="Y145" s="213"/>
      <c r="Z145" s="214"/>
      <c r="AB145" s="592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3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3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3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3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3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3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3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3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4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5">
        <f ca="1">IF($D145&lt;&gt;"Serviço",0,IF(AND(AUTOEVENTO="Manual",$M145=1),0,IF(OFFSET(CRONOPLE!$F$14,$M145,AM$13)="",10^12,OFFSET(CRONOPLE!$F$14,$M145,AM$13))))</f>
        <v>2</v>
      </c>
      <c r="AN145" s="215">
        <f ca="1">IF($D145&lt;&gt;"Serviço",0,IF(AND(AUTOEVENTO="Manual",$M145=1),0,IF(OFFSET(CRONOPLE!$F$14,$M145,AN$13)="",10^12,OFFSET(CRONOPLE!$F$14,$M145,AN$13))))</f>
        <v>2</v>
      </c>
      <c r="AO145" s="215">
        <f ca="1">IF($D145&lt;&gt;"Serviço",0,IF(AND(AUTOEVENTO="Manual",$M145=1),0,IF(OFFSET(CRONOPLE!$F$14,$M145,AO$13)="",10^12,OFFSET(CRONOPLE!$F$14,$M145,AO$13))))</f>
        <v>3</v>
      </c>
      <c r="AP145" s="215">
        <f ca="1">IF($D145&lt;&gt;"Serviço",0,IF(AND(AUTOEVENTO="Manual",$M145=1),0,IF(OFFSET(CRONOPLE!$F$14,$M145,AP$13)="",10^12,OFFSET(CRONOPLE!$F$14,$M145,AP$13))))</f>
        <v>1000000000000</v>
      </c>
      <c r="AQ145" s="215">
        <f ca="1">IF($D145&lt;&gt;"Serviço",0,IF(AND(AUTOEVENTO="Manual",$M145=1),0,IF(OFFSET(CRONOPLE!$F$14,$M145,AQ$13)="",10^12,OFFSET(CRONOPLE!$F$14,$M145,AQ$13))))</f>
        <v>1000000000000</v>
      </c>
      <c r="AR145" s="215">
        <f ca="1">IF($D145&lt;&gt;"Serviço",0,IF(AND(AUTOEVENTO="Manual",$M145=1),0,IF(OFFSET(CRONOPLE!$F$14,$M145,AR$13)="",10^12,OFFSET(CRONOPLE!$F$14,$M145,AR$13))))</f>
        <v>1000000000000</v>
      </c>
      <c r="AS145" s="215">
        <f ca="1">IF($D145&lt;&gt;"Serviço",0,IF(AND(AUTOEVENTO="Manual",$M145=1),0,IF(OFFSET(CRONOPLE!$F$14,$M145,AS$13)="",10^12,OFFSET(CRONOPLE!$F$14,$M145,AS$13))))</f>
        <v>1000000000000</v>
      </c>
      <c r="AT145" s="215">
        <f ca="1">IF($D145&lt;&gt;"Serviço",0,IF(AND(AUTOEVENTO="Manual",$M145=1),0,IF(OFFSET(CRONOPLE!$F$14,$M145,AT$13)="",10^12,OFFSET(CRONOPLE!$F$14,$M145,AT$13))))</f>
        <v>1000000000000</v>
      </c>
      <c r="AU145" s="215">
        <f ca="1">IF($D145&lt;&gt;"Serviço",0,IF(AND(AUTOEVENTO="Manual",$M145=1),0,IF(OFFSET(CRONOPLE!$F$14,$M145,AU$13)="",10^12,OFFSET(CRONOPLE!$F$14,$M145,AU$13))))</f>
        <v>1000000000000</v>
      </c>
      <c r="AV145" s="215">
        <f ca="1">IF($D145&lt;&gt;"Serviço",0,IF(AND(AUTOEVENTO="Manual",$M145=1),0,IF(OFFSET(CRONOPLE!$F$14,$M145,AV$13)="",10^12,OFFSET(CRONOPLE!$F$14,$M145,AV$13))))</f>
        <v>1000000000000</v>
      </c>
      <c r="AX145" s="216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6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6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6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6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6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6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6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6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6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37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5" t="str">
        <f ca="1">OFFSET(ORÇAMENTO!N$15,ROW(D146)-ROW(D$15),0)</f>
        <v>Serviço</v>
      </c>
      <c r="E146" s="205" t="str">
        <f ca="1">OFFSET(ORÇAMENTO!O$15,ROW(E146)-ROW(E$15),0)</f>
        <v>-</v>
      </c>
      <c r="F146" s="206" t="str">
        <f ca="1">OFFSET(ORÇAMENTO!R$15,ROW(F146)-ROW(F$15),0)</f>
        <v>(abra o arquivo 'Referência 05-2023.xls)</v>
      </c>
      <c r="G146" s="207" t="str">
        <f ca="1">IF($D146&lt;&gt;"Serviço","",OFFSET(ORÇAMENTO!S$15,ROW(G146)-ROW(G$15),0))</f>
        <v>-</v>
      </c>
      <c r="H146" s="151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1"/>
      <c r="K146" s="208"/>
      <c r="L146" s="209" t="s">
        <v>254</v>
      </c>
      <c r="M146" s="210">
        <f ca="1">IF($D146&lt;&gt;"Serviço","",IF(AUTOEVENTO="manual",$A146,IF(ISERROR(MATCH($A146,$A$15:OFFSET($A146,-1,0),0)),MAX($M$15:OFFSET(M146,-1,0))+1,INDEX($M$15:OFFSET(M146,-1,0),MATCH($A146,$A$15:OFFSET($A146,-1,0),0)))))</f>
        <v>5</v>
      </c>
      <c r="N146" s="211" t="str">
        <f ca="1">IF($D146&lt;&gt;"Serviço","",IF(AUTOEVENTO="Manual",IF($A146=0,"&lt;-- defina o número do agrupador",OFFSET(EVENTOS!$D$14,$A146,0)),OFFSET($F$15,$A146,0)))</f>
        <v>PINTURAS E TEXTURAS</v>
      </c>
      <c r="O146" s="212"/>
      <c r="Q146" s="212"/>
      <c r="R146" s="213"/>
      <c r="S146" s="213"/>
      <c r="T146" s="213"/>
      <c r="U146" s="213"/>
      <c r="V146" s="213"/>
      <c r="W146" s="213"/>
      <c r="X146" s="213"/>
      <c r="Y146" s="213"/>
      <c r="Z146" s="214"/>
      <c r="AB146" s="592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3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3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3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3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3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3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3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3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4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5">
        <f ca="1">IF($D146&lt;&gt;"Serviço",0,IF(AND(AUTOEVENTO="Manual",$M146=1),0,IF(OFFSET(CRONOPLE!$F$14,$M146,AM$13)="",10^12,OFFSET(CRONOPLE!$F$14,$M146,AM$13))))</f>
        <v>2</v>
      </c>
      <c r="AN146" s="215">
        <f ca="1">IF($D146&lt;&gt;"Serviço",0,IF(AND(AUTOEVENTO="Manual",$M146=1),0,IF(OFFSET(CRONOPLE!$F$14,$M146,AN$13)="",10^12,OFFSET(CRONOPLE!$F$14,$M146,AN$13))))</f>
        <v>2</v>
      </c>
      <c r="AO146" s="215">
        <f ca="1">IF($D146&lt;&gt;"Serviço",0,IF(AND(AUTOEVENTO="Manual",$M146=1),0,IF(OFFSET(CRONOPLE!$F$14,$M146,AO$13)="",10^12,OFFSET(CRONOPLE!$F$14,$M146,AO$13))))</f>
        <v>3</v>
      </c>
      <c r="AP146" s="215">
        <f ca="1">IF($D146&lt;&gt;"Serviço",0,IF(AND(AUTOEVENTO="Manual",$M146=1),0,IF(OFFSET(CRONOPLE!$F$14,$M146,AP$13)="",10^12,OFFSET(CRONOPLE!$F$14,$M146,AP$13))))</f>
        <v>1000000000000</v>
      </c>
      <c r="AQ146" s="215">
        <f ca="1">IF($D146&lt;&gt;"Serviço",0,IF(AND(AUTOEVENTO="Manual",$M146=1),0,IF(OFFSET(CRONOPLE!$F$14,$M146,AQ$13)="",10^12,OFFSET(CRONOPLE!$F$14,$M146,AQ$13))))</f>
        <v>1000000000000</v>
      </c>
      <c r="AR146" s="215">
        <f ca="1">IF($D146&lt;&gt;"Serviço",0,IF(AND(AUTOEVENTO="Manual",$M146=1),0,IF(OFFSET(CRONOPLE!$F$14,$M146,AR$13)="",10^12,OFFSET(CRONOPLE!$F$14,$M146,AR$13))))</f>
        <v>1000000000000</v>
      </c>
      <c r="AS146" s="215">
        <f ca="1">IF($D146&lt;&gt;"Serviço",0,IF(AND(AUTOEVENTO="Manual",$M146=1),0,IF(OFFSET(CRONOPLE!$F$14,$M146,AS$13)="",10^12,OFFSET(CRONOPLE!$F$14,$M146,AS$13))))</f>
        <v>1000000000000</v>
      </c>
      <c r="AT146" s="215">
        <f ca="1">IF($D146&lt;&gt;"Serviço",0,IF(AND(AUTOEVENTO="Manual",$M146=1),0,IF(OFFSET(CRONOPLE!$F$14,$M146,AT$13)="",10^12,OFFSET(CRONOPLE!$F$14,$M146,AT$13))))</f>
        <v>1000000000000</v>
      </c>
      <c r="AU146" s="215">
        <f ca="1">IF($D146&lt;&gt;"Serviço",0,IF(AND(AUTOEVENTO="Manual",$M146=1),0,IF(OFFSET(CRONOPLE!$F$14,$M146,AU$13)="",10^12,OFFSET(CRONOPLE!$F$14,$M146,AU$13))))</f>
        <v>1000000000000</v>
      </c>
      <c r="AV146" s="215">
        <f ca="1">IF($D146&lt;&gt;"Serviço",0,IF(AND(AUTOEVENTO="Manual",$M146=1),0,IF(OFFSET(CRONOPLE!$F$14,$M146,AV$13)="",10^12,OFFSET(CRONOPLE!$F$14,$M146,AV$13))))</f>
        <v>1000000000000</v>
      </c>
      <c r="AX146" s="216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6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6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6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6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6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6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6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6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6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37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5" t="str">
        <f ca="1">OFFSET(ORÇAMENTO!N$15,ROW(D147)-ROW(D$15),0)</f>
        <v>Serviço</v>
      </c>
      <c r="E147" s="205" t="str">
        <f ca="1">OFFSET(ORÇAMENTO!O$15,ROW(E147)-ROW(E$15),0)</f>
        <v>-</v>
      </c>
      <c r="F147" s="206" t="str">
        <f ca="1">OFFSET(ORÇAMENTO!R$15,ROW(F147)-ROW(F$15),0)</f>
        <v>(abra o arquivo 'Referência 05-2023.xls)</v>
      </c>
      <c r="G147" s="207" t="str">
        <f ca="1">IF($D147&lt;&gt;"Serviço","",OFFSET(ORÇAMENTO!S$15,ROW(G147)-ROW(G$15),0))</f>
        <v>-</v>
      </c>
      <c r="H147" s="151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1"/>
      <c r="K147" s="208"/>
      <c r="L147" s="209" t="s">
        <v>254</v>
      </c>
      <c r="M147" s="210">
        <f ca="1">IF($D147&lt;&gt;"Serviço","",IF(AUTOEVENTO="manual",$A147,IF(ISERROR(MATCH($A147,$A$15:OFFSET($A147,-1,0),0)),MAX($M$15:OFFSET(M147,-1,0))+1,INDEX($M$15:OFFSET(M147,-1,0),MATCH($A147,$A$15:OFFSET($A147,-1,0),0)))))</f>
        <v>5</v>
      </c>
      <c r="N147" s="211" t="str">
        <f ca="1">IF($D147&lt;&gt;"Serviço","",IF(AUTOEVENTO="Manual",IF($A147=0,"&lt;-- defina o número do agrupador",OFFSET(EVENTOS!$D$14,$A147,0)),OFFSET($F$15,$A147,0)))</f>
        <v>PINTURAS E TEXTURAS</v>
      </c>
      <c r="O147" s="212"/>
      <c r="Q147" s="212"/>
      <c r="R147" s="213"/>
      <c r="S147" s="213"/>
      <c r="T147" s="213"/>
      <c r="U147" s="213"/>
      <c r="V147" s="213"/>
      <c r="W147" s="213"/>
      <c r="X147" s="213"/>
      <c r="Y147" s="213"/>
      <c r="Z147" s="214"/>
      <c r="AB147" s="592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3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3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3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3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3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3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3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3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4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5">
        <f ca="1">IF($D147&lt;&gt;"Serviço",0,IF(AND(AUTOEVENTO="Manual",$M147=1),0,IF(OFFSET(CRONOPLE!$F$14,$M147,AM$13)="",10^12,OFFSET(CRONOPLE!$F$14,$M147,AM$13))))</f>
        <v>2</v>
      </c>
      <c r="AN147" s="215">
        <f ca="1">IF($D147&lt;&gt;"Serviço",0,IF(AND(AUTOEVENTO="Manual",$M147=1),0,IF(OFFSET(CRONOPLE!$F$14,$M147,AN$13)="",10^12,OFFSET(CRONOPLE!$F$14,$M147,AN$13))))</f>
        <v>2</v>
      </c>
      <c r="AO147" s="215">
        <f ca="1">IF($D147&lt;&gt;"Serviço",0,IF(AND(AUTOEVENTO="Manual",$M147=1),0,IF(OFFSET(CRONOPLE!$F$14,$M147,AO$13)="",10^12,OFFSET(CRONOPLE!$F$14,$M147,AO$13))))</f>
        <v>3</v>
      </c>
      <c r="AP147" s="215">
        <f ca="1">IF($D147&lt;&gt;"Serviço",0,IF(AND(AUTOEVENTO="Manual",$M147=1),0,IF(OFFSET(CRONOPLE!$F$14,$M147,AP$13)="",10^12,OFFSET(CRONOPLE!$F$14,$M147,AP$13))))</f>
        <v>1000000000000</v>
      </c>
      <c r="AQ147" s="215">
        <f ca="1">IF($D147&lt;&gt;"Serviço",0,IF(AND(AUTOEVENTO="Manual",$M147=1),0,IF(OFFSET(CRONOPLE!$F$14,$M147,AQ$13)="",10^12,OFFSET(CRONOPLE!$F$14,$M147,AQ$13))))</f>
        <v>1000000000000</v>
      </c>
      <c r="AR147" s="215">
        <f ca="1">IF($D147&lt;&gt;"Serviço",0,IF(AND(AUTOEVENTO="Manual",$M147=1),0,IF(OFFSET(CRONOPLE!$F$14,$M147,AR$13)="",10^12,OFFSET(CRONOPLE!$F$14,$M147,AR$13))))</f>
        <v>1000000000000</v>
      </c>
      <c r="AS147" s="215">
        <f ca="1">IF($D147&lt;&gt;"Serviço",0,IF(AND(AUTOEVENTO="Manual",$M147=1),0,IF(OFFSET(CRONOPLE!$F$14,$M147,AS$13)="",10^12,OFFSET(CRONOPLE!$F$14,$M147,AS$13))))</f>
        <v>1000000000000</v>
      </c>
      <c r="AT147" s="215">
        <f ca="1">IF($D147&lt;&gt;"Serviço",0,IF(AND(AUTOEVENTO="Manual",$M147=1),0,IF(OFFSET(CRONOPLE!$F$14,$M147,AT$13)="",10^12,OFFSET(CRONOPLE!$F$14,$M147,AT$13))))</f>
        <v>1000000000000</v>
      </c>
      <c r="AU147" s="215">
        <f ca="1">IF($D147&lt;&gt;"Serviço",0,IF(AND(AUTOEVENTO="Manual",$M147=1),0,IF(OFFSET(CRONOPLE!$F$14,$M147,AU$13)="",10^12,OFFSET(CRONOPLE!$F$14,$M147,AU$13))))</f>
        <v>1000000000000</v>
      </c>
      <c r="AV147" s="215">
        <f ca="1">IF($D147&lt;&gt;"Serviço",0,IF(AND(AUTOEVENTO="Manual",$M147=1),0,IF(OFFSET(CRONOPLE!$F$14,$M147,AV$13)="",10^12,OFFSET(CRONOPLE!$F$14,$M147,AV$13))))</f>
        <v>1000000000000</v>
      </c>
      <c r="AX147" s="216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6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6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6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6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6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6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6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6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6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37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5" t="str">
        <f ca="1">OFFSET(ORÇAMENTO!N$15,ROW(D148)-ROW(D$15),0)</f>
        <v>Serviço</v>
      </c>
      <c r="E148" s="205" t="str">
        <f ca="1">OFFSET(ORÇAMENTO!O$15,ROW(E148)-ROW(E$15),0)</f>
        <v>-</v>
      </c>
      <c r="F148" s="206" t="str">
        <f ca="1">OFFSET(ORÇAMENTO!R$15,ROW(F148)-ROW(F$15),0)</f>
        <v>(abra o arquivo 'Referência 05-2023.xls)</v>
      </c>
      <c r="G148" s="207" t="str">
        <f ca="1">IF($D148&lt;&gt;"Serviço","",OFFSET(ORÇAMENTO!S$15,ROW(G148)-ROW(G$15),0))</f>
        <v>-</v>
      </c>
      <c r="H148" s="151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1"/>
      <c r="K148" s="208"/>
      <c r="L148" s="209" t="s">
        <v>254</v>
      </c>
      <c r="M148" s="210">
        <f ca="1">IF($D148&lt;&gt;"Serviço","",IF(AUTOEVENTO="manual",$A148,IF(ISERROR(MATCH($A148,$A$15:OFFSET($A148,-1,0),0)),MAX($M$15:OFFSET(M148,-1,0))+1,INDEX($M$15:OFFSET(M148,-1,0),MATCH($A148,$A$15:OFFSET($A148,-1,0),0)))))</f>
        <v>5</v>
      </c>
      <c r="N148" s="211" t="str">
        <f ca="1">IF($D148&lt;&gt;"Serviço","",IF(AUTOEVENTO="Manual",IF($A148=0,"&lt;-- defina o número do agrupador",OFFSET(EVENTOS!$D$14,$A148,0)),OFFSET($F$15,$A148,0)))</f>
        <v>PINTURAS E TEXTURAS</v>
      </c>
      <c r="O148" s="212"/>
      <c r="Q148" s="212"/>
      <c r="R148" s="213"/>
      <c r="S148" s="213"/>
      <c r="T148" s="213"/>
      <c r="U148" s="213"/>
      <c r="V148" s="213"/>
      <c r="W148" s="213"/>
      <c r="X148" s="213"/>
      <c r="Y148" s="213"/>
      <c r="Z148" s="214"/>
      <c r="AB148" s="592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3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3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3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3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3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3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3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3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4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5">
        <f ca="1">IF($D148&lt;&gt;"Serviço",0,IF(AND(AUTOEVENTO="Manual",$M148=1),0,IF(OFFSET(CRONOPLE!$F$14,$M148,AM$13)="",10^12,OFFSET(CRONOPLE!$F$14,$M148,AM$13))))</f>
        <v>2</v>
      </c>
      <c r="AN148" s="215">
        <f ca="1">IF($D148&lt;&gt;"Serviço",0,IF(AND(AUTOEVENTO="Manual",$M148=1),0,IF(OFFSET(CRONOPLE!$F$14,$M148,AN$13)="",10^12,OFFSET(CRONOPLE!$F$14,$M148,AN$13))))</f>
        <v>2</v>
      </c>
      <c r="AO148" s="215">
        <f ca="1">IF($D148&lt;&gt;"Serviço",0,IF(AND(AUTOEVENTO="Manual",$M148=1),0,IF(OFFSET(CRONOPLE!$F$14,$M148,AO$13)="",10^12,OFFSET(CRONOPLE!$F$14,$M148,AO$13))))</f>
        <v>3</v>
      </c>
      <c r="AP148" s="215">
        <f ca="1">IF($D148&lt;&gt;"Serviço",0,IF(AND(AUTOEVENTO="Manual",$M148=1),0,IF(OFFSET(CRONOPLE!$F$14,$M148,AP$13)="",10^12,OFFSET(CRONOPLE!$F$14,$M148,AP$13))))</f>
        <v>1000000000000</v>
      </c>
      <c r="AQ148" s="215">
        <f ca="1">IF($D148&lt;&gt;"Serviço",0,IF(AND(AUTOEVENTO="Manual",$M148=1),0,IF(OFFSET(CRONOPLE!$F$14,$M148,AQ$13)="",10^12,OFFSET(CRONOPLE!$F$14,$M148,AQ$13))))</f>
        <v>1000000000000</v>
      </c>
      <c r="AR148" s="215">
        <f ca="1">IF($D148&lt;&gt;"Serviço",0,IF(AND(AUTOEVENTO="Manual",$M148=1),0,IF(OFFSET(CRONOPLE!$F$14,$M148,AR$13)="",10^12,OFFSET(CRONOPLE!$F$14,$M148,AR$13))))</f>
        <v>1000000000000</v>
      </c>
      <c r="AS148" s="215">
        <f ca="1">IF($D148&lt;&gt;"Serviço",0,IF(AND(AUTOEVENTO="Manual",$M148=1),0,IF(OFFSET(CRONOPLE!$F$14,$M148,AS$13)="",10^12,OFFSET(CRONOPLE!$F$14,$M148,AS$13))))</f>
        <v>1000000000000</v>
      </c>
      <c r="AT148" s="215">
        <f ca="1">IF($D148&lt;&gt;"Serviço",0,IF(AND(AUTOEVENTO="Manual",$M148=1),0,IF(OFFSET(CRONOPLE!$F$14,$M148,AT$13)="",10^12,OFFSET(CRONOPLE!$F$14,$M148,AT$13))))</f>
        <v>1000000000000</v>
      </c>
      <c r="AU148" s="215">
        <f ca="1">IF($D148&lt;&gt;"Serviço",0,IF(AND(AUTOEVENTO="Manual",$M148=1),0,IF(OFFSET(CRONOPLE!$F$14,$M148,AU$13)="",10^12,OFFSET(CRONOPLE!$F$14,$M148,AU$13))))</f>
        <v>1000000000000</v>
      </c>
      <c r="AV148" s="215">
        <f ca="1">IF($D148&lt;&gt;"Serviço",0,IF(AND(AUTOEVENTO="Manual",$M148=1),0,IF(OFFSET(CRONOPLE!$F$14,$M148,AV$13)="",10^12,OFFSET(CRONOPLE!$F$14,$M148,AV$13))))</f>
        <v>1000000000000</v>
      </c>
      <c r="AX148" s="216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6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6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6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6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6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6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6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6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6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37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5" t="str">
        <f ca="1">OFFSET(ORÇAMENTO!N$15,ROW(D149)-ROW(D$15),0)</f>
        <v>Serviço</v>
      </c>
      <c r="E149" s="205" t="str">
        <f ca="1">OFFSET(ORÇAMENTO!O$15,ROW(E149)-ROW(E$15),0)</f>
        <v>-</v>
      </c>
      <c r="F149" s="206" t="str">
        <f ca="1">OFFSET(ORÇAMENTO!R$15,ROW(F149)-ROW(F$15),0)</f>
        <v>(abra o arquivo 'Referência 05-2023.xls)</v>
      </c>
      <c r="G149" s="207" t="str">
        <f ca="1">IF($D149&lt;&gt;"Serviço","",OFFSET(ORÇAMENTO!S$15,ROW(G149)-ROW(G$15),0))</f>
        <v>-</v>
      </c>
      <c r="H149" s="151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1"/>
      <c r="K149" s="208"/>
      <c r="L149" s="209" t="s">
        <v>254</v>
      </c>
      <c r="M149" s="210">
        <f ca="1">IF($D149&lt;&gt;"Serviço","",IF(AUTOEVENTO="manual",$A149,IF(ISERROR(MATCH($A149,$A$15:OFFSET($A149,-1,0),0)),MAX($M$15:OFFSET(M149,-1,0))+1,INDEX($M$15:OFFSET(M149,-1,0),MATCH($A149,$A$15:OFFSET($A149,-1,0),0)))))</f>
        <v>5</v>
      </c>
      <c r="N149" s="211" t="str">
        <f ca="1">IF($D149&lt;&gt;"Serviço","",IF(AUTOEVENTO="Manual",IF($A149=0,"&lt;-- defina o número do agrupador",OFFSET(EVENTOS!$D$14,$A149,0)),OFFSET($F$15,$A149,0)))</f>
        <v>PINTURAS E TEXTURAS</v>
      </c>
      <c r="O149" s="212"/>
      <c r="Q149" s="212"/>
      <c r="R149" s="213"/>
      <c r="S149" s="213"/>
      <c r="T149" s="213"/>
      <c r="U149" s="213"/>
      <c r="V149" s="213"/>
      <c r="W149" s="213"/>
      <c r="X149" s="213"/>
      <c r="Y149" s="213"/>
      <c r="Z149" s="214"/>
      <c r="AB149" s="592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3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3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3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3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3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3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3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3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4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5">
        <f ca="1">IF($D149&lt;&gt;"Serviço",0,IF(AND(AUTOEVENTO="Manual",$M149=1),0,IF(OFFSET(CRONOPLE!$F$14,$M149,AM$13)="",10^12,OFFSET(CRONOPLE!$F$14,$M149,AM$13))))</f>
        <v>2</v>
      </c>
      <c r="AN149" s="215">
        <f ca="1">IF($D149&lt;&gt;"Serviço",0,IF(AND(AUTOEVENTO="Manual",$M149=1),0,IF(OFFSET(CRONOPLE!$F$14,$M149,AN$13)="",10^12,OFFSET(CRONOPLE!$F$14,$M149,AN$13))))</f>
        <v>2</v>
      </c>
      <c r="AO149" s="215">
        <f ca="1">IF($D149&lt;&gt;"Serviço",0,IF(AND(AUTOEVENTO="Manual",$M149=1),0,IF(OFFSET(CRONOPLE!$F$14,$M149,AO$13)="",10^12,OFFSET(CRONOPLE!$F$14,$M149,AO$13))))</f>
        <v>3</v>
      </c>
      <c r="AP149" s="215">
        <f ca="1">IF($D149&lt;&gt;"Serviço",0,IF(AND(AUTOEVENTO="Manual",$M149=1),0,IF(OFFSET(CRONOPLE!$F$14,$M149,AP$13)="",10^12,OFFSET(CRONOPLE!$F$14,$M149,AP$13))))</f>
        <v>1000000000000</v>
      </c>
      <c r="AQ149" s="215">
        <f ca="1">IF($D149&lt;&gt;"Serviço",0,IF(AND(AUTOEVENTO="Manual",$M149=1),0,IF(OFFSET(CRONOPLE!$F$14,$M149,AQ$13)="",10^12,OFFSET(CRONOPLE!$F$14,$M149,AQ$13))))</f>
        <v>1000000000000</v>
      </c>
      <c r="AR149" s="215">
        <f ca="1">IF($D149&lt;&gt;"Serviço",0,IF(AND(AUTOEVENTO="Manual",$M149=1),0,IF(OFFSET(CRONOPLE!$F$14,$M149,AR$13)="",10^12,OFFSET(CRONOPLE!$F$14,$M149,AR$13))))</f>
        <v>1000000000000</v>
      </c>
      <c r="AS149" s="215">
        <f ca="1">IF($D149&lt;&gt;"Serviço",0,IF(AND(AUTOEVENTO="Manual",$M149=1),0,IF(OFFSET(CRONOPLE!$F$14,$M149,AS$13)="",10^12,OFFSET(CRONOPLE!$F$14,$M149,AS$13))))</f>
        <v>1000000000000</v>
      </c>
      <c r="AT149" s="215">
        <f ca="1">IF($D149&lt;&gt;"Serviço",0,IF(AND(AUTOEVENTO="Manual",$M149=1),0,IF(OFFSET(CRONOPLE!$F$14,$M149,AT$13)="",10^12,OFFSET(CRONOPLE!$F$14,$M149,AT$13))))</f>
        <v>1000000000000</v>
      </c>
      <c r="AU149" s="215">
        <f ca="1">IF($D149&lt;&gt;"Serviço",0,IF(AND(AUTOEVENTO="Manual",$M149=1),0,IF(OFFSET(CRONOPLE!$F$14,$M149,AU$13)="",10^12,OFFSET(CRONOPLE!$F$14,$M149,AU$13))))</f>
        <v>1000000000000</v>
      </c>
      <c r="AV149" s="215">
        <f ca="1">IF($D149&lt;&gt;"Serviço",0,IF(AND(AUTOEVENTO="Manual",$M149=1),0,IF(OFFSET(CRONOPLE!$F$14,$M149,AV$13)="",10^12,OFFSET(CRONOPLE!$F$14,$M149,AV$13))))</f>
        <v>1000000000000</v>
      </c>
      <c r="AX149" s="216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6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6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6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6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6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6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6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6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6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37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5" t="str">
        <f ca="1">OFFSET(ORÇAMENTO!N$15,ROW(D150)-ROW(D$15),0)</f>
        <v>Serviço</v>
      </c>
      <c r="E150" s="205" t="str">
        <f ca="1">OFFSET(ORÇAMENTO!O$15,ROW(E150)-ROW(E$15),0)</f>
        <v>-</v>
      </c>
      <c r="F150" s="206" t="str">
        <f ca="1">OFFSET(ORÇAMENTO!R$15,ROW(F150)-ROW(F$15),0)</f>
        <v>(abra o arquivo 'Referência 05-2023.xls)</v>
      </c>
      <c r="G150" s="207" t="str">
        <f ca="1">IF($D150&lt;&gt;"Serviço","",OFFSET(ORÇAMENTO!S$15,ROW(G150)-ROW(G$15),0))</f>
        <v>-</v>
      </c>
      <c r="H150" s="151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1"/>
      <c r="K150" s="208"/>
      <c r="L150" s="209" t="s">
        <v>254</v>
      </c>
      <c r="M150" s="210">
        <f ca="1">IF($D150&lt;&gt;"Serviço","",IF(AUTOEVENTO="manual",$A150,IF(ISERROR(MATCH($A150,$A$15:OFFSET($A150,-1,0),0)),MAX($M$15:OFFSET(M150,-1,0))+1,INDEX($M$15:OFFSET(M150,-1,0),MATCH($A150,$A$15:OFFSET($A150,-1,0),0)))))</f>
        <v>5</v>
      </c>
      <c r="N150" s="211" t="str">
        <f ca="1">IF($D150&lt;&gt;"Serviço","",IF(AUTOEVENTO="Manual",IF($A150=0,"&lt;-- defina o número do agrupador",OFFSET(EVENTOS!$D$14,$A150,0)),OFFSET($F$15,$A150,0)))</f>
        <v>PINTURAS E TEXTURAS</v>
      </c>
      <c r="O150" s="212"/>
      <c r="Q150" s="212"/>
      <c r="R150" s="213"/>
      <c r="S150" s="213"/>
      <c r="T150" s="213"/>
      <c r="U150" s="213"/>
      <c r="V150" s="213"/>
      <c r="W150" s="213"/>
      <c r="X150" s="213"/>
      <c r="Y150" s="213"/>
      <c r="Z150" s="214"/>
      <c r="AB150" s="592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3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3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3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3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3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3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3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3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4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5">
        <f ca="1">IF($D150&lt;&gt;"Serviço",0,IF(AND(AUTOEVENTO="Manual",$M150=1),0,IF(OFFSET(CRONOPLE!$F$14,$M150,AM$13)="",10^12,OFFSET(CRONOPLE!$F$14,$M150,AM$13))))</f>
        <v>2</v>
      </c>
      <c r="AN150" s="215">
        <f ca="1">IF($D150&lt;&gt;"Serviço",0,IF(AND(AUTOEVENTO="Manual",$M150=1),0,IF(OFFSET(CRONOPLE!$F$14,$M150,AN$13)="",10^12,OFFSET(CRONOPLE!$F$14,$M150,AN$13))))</f>
        <v>2</v>
      </c>
      <c r="AO150" s="215">
        <f ca="1">IF($D150&lt;&gt;"Serviço",0,IF(AND(AUTOEVENTO="Manual",$M150=1),0,IF(OFFSET(CRONOPLE!$F$14,$M150,AO$13)="",10^12,OFFSET(CRONOPLE!$F$14,$M150,AO$13))))</f>
        <v>3</v>
      </c>
      <c r="AP150" s="215">
        <f ca="1">IF($D150&lt;&gt;"Serviço",0,IF(AND(AUTOEVENTO="Manual",$M150=1),0,IF(OFFSET(CRONOPLE!$F$14,$M150,AP$13)="",10^12,OFFSET(CRONOPLE!$F$14,$M150,AP$13))))</f>
        <v>1000000000000</v>
      </c>
      <c r="AQ150" s="215">
        <f ca="1">IF($D150&lt;&gt;"Serviço",0,IF(AND(AUTOEVENTO="Manual",$M150=1),0,IF(OFFSET(CRONOPLE!$F$14,$M150,AQ$13)="",10^12,OFFSET(CRONOPLE!$F$14,$M150,AQ$13))))</f>
        <v>1000000000000</v>
      </c>
      <c r="AR150" s="215">
        <f ca="1">IF($D150&lt;&gt;"Serviço",0,IF(AND(AUTOEVENTO="Manual",$M150=1),0,IF(OFFSET(CRONOPLE!$F$14,$M150,AR$13)="",10^12,OFFSET(CRONOPLE!$F$14,$M150,AR$13))))</f>
        <v>1000000000000</v>
      </c>
      <c r="AS150" s="215">
        <f ca="1">IF($D150&lt;&gt;"Serviço",0,IF(AND(AUTOEVENTO="Manual",$M150=1),0,IF(OFFSET(CRONOPLE!$F$14,$M150,AS$13)="",10^12,OFFSET(CRONOPLE!$F$14,$M150,AS$13))))</f>
        <v>1000000000000</v>
      </c>
      <c r="AT150" s="215">
        <f ca="1">IF($D150&lt;&gt;"Serviço",0,IF(AND(AUTOEVENTO="Manual",$M150=1),0,IF(OFFSET(CRONOPLE!$F$14,$M150,AT$13)="",10^12,OFFSET(CRONOPLE!$F$14,$M150,AT$13))))</f>
        <v>1000000000000</v>
      </c>
      <c r="AU150" s="215">
        <f ca="1">IF($D150&lt;&gt;"Serviço",0,IF(AND(AUTOEVENTO="Manual",$M150=1),0,IF(OFFSET(CRONOPLE!$F$14,$M150,AU$13)="",10^12,OFFSET(CRONOPLE!$F$14,$M150,AU$13))))</f>
        <v>1000000000000</v>
      </c>
      <c r="AV150" s="215">
        <f ca="1">IF($D150&lt;&gt;"Serviço",0,IF(AND(AUTOEVENTO="Manual",$M150=1),0,IF(OFFSET(CRONOPLE!$F$14,$M150,AV$13)="",10^12,OFFSET(CRONOPLE!$F$14,$M150,AV$13))))</f>
        <v>1000000000000</v>
      </c>
      <c r="AX150" s="216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6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6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6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6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6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6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6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6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6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37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5" t="str">
        <f ca="1">OFFSET(ORÇAMENTO!N$15,ROW(D151)-ROW(D$15),0)</f>
        <v>Serviço</v>
      </c>
      <c r="E151" s="205" t="str">
        <f ca="1">OFFSET(ORÇAMENTO!O$15,ROW(E151)-ROW(E$15),0)</f>
        <v>-</v>
      </c>
      <c r="F151" s="206" t="str">
        <f ca="1">OFFSET(ORÇAMENTO!R$15,ROW(F151)-ROW(F$15),0)</f>
        <v>(abra o arquivo 'Referência 05-2023.xls)</v>
      </c>
      <c r="G151" s="207" t="str">
        <f ca="1">IF($D151&lt;&gt;"Serviço","",OFFSET(ORÇAMENTO!S$15,ROW(G151)-ROW(G$15),0))</f>
        <v>-</v>
      </c>
      <c r="H151" s="151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1"/>
      <c r="K151" s="208"/>
      <c r="L151" s="209" t="s">
        <v>254</v>
      </c>
      <c r="M151" s="210">
        <f ca="1">IF($D151&lt;&gt;"Serviço","",IF(AUTOEVENTO="manual",$A151,IF(ISERROR(MATCH($A151,$A$15:OFFSET($A151,-1,0),0)),MAX($M$15:OFFSET(M151,-1,0))+1,INDEX($M$15:OFFSET(M151,-1,0),MATCH($A151,$A$15:OFFSET($A151,-1,0),0)))))</f>
        <v>5</v>
      </c>
      <c r="N151" s="211" t="str">
        <f ca="1">IF($D151&lt;&gt;"Serviço","",IF(AUTOEVENTO="Manual",IF($A151=0,"&lt;-- defina o número do agrupador",OFFSET(EVENTOS!$D$14,$A151,0)),OFFSET($F$15,$A151,0)))</f>
        <v>PINTURAS E TEXTURAS</v>
      </c>
      <c r="O151" s="212"/>
      <c r="Q151" s="212"/>
      <c r="R151" s="213"/>
      <c r="S151" s="213"/>
      <c r="T151" s="213"/>
      <c r="U151" s="213"/>
      <c r="V151" s="213"/>
      <c r="W151" s="213"/>
      <c r="X151" s="213"/>
      <c r="Y151" s="213"/>
      <c r="Z151" s="214"/>
      <c r="AB151" s="592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3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3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3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3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3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3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3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3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4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5">
        <f ca="1">IF($D151&lt;&gt;"Serviço",0,IF(AND(AUTOEVENTO="Manual",$M151=1),0,IF(OFFSET(CRONOPLE!$F$14,$M151,AM$13)="",10^12,OFFSET(CRONOPLE!$F$14,$M151,AM$13))))</f>
        <v>2</v>
      </c>
      <c r="AN151" s="215">
        <f ca="1">IF($D151&lt;&gt;"Serviço",0,IF(AND(AUTOEVENTO="Manual",$M151=1),0,IF(OFFSET(CRONOPLE!$F$14,$M151,AN$13)="",10^12,OFFSET(CRONOPLE!$F$14,$M151,AN$13))))</f>
        <v>2</v>
      </c>
      <c r="AO151" s="215">
        <f ca="1">IF($D151&lt;&gt;"Serviço",0,IF(AND(AUTOEVENTO="Manual",$M151=1),0,IF(OFFSET(CRONOPLE!$F$14,$M151,AO$13)="",10^12,OFFSET(CRONOPLE!$F$14,$M151,AO$13))))</f>
        <v>3</v>
      </c>
      <c r="AP151" s="215">
        <f ca="1">IF($D151&lt;&gt;"Serviço",0,IF(AND(AUTOEVENTO="Manual",$M151=1),0,IF(OFFSET(CRONOPLE!$F$14,$M151,AP$13)="",10^12,OFFSET(CRONOPLE!$F$14,$M151,AP$13))))</f>
        <v>1000000000000</v>
      </c>
      <c r="AQ151" s="215">
        <f ca="1">IF($D151&lt;&gt;"Serviço",0,IF(AND(AUTOEVENTO="Manual",$M151=1),0,IF(OFFSET(CRONOPLE!$F$14,$M151,AQ$13)="",10^12,OFFSET(CRONOPLE!$F$14,$M151,AQ$13))))</f>
        <v>1000000000000</v>
      </c>
      <c r="AR151" s="215">
        <f ca="1">IF($D151&lt;&gt;"Serviço",0,IF(AND(AUTOEVENTO="Manual",$M151=1),0,IF(OFFSET(CRONOPLE!$F$14,$M151,AR$13)="",10^12,OFFSET(CRONOPLE!$F$14,$M151,AR$13))))</f>
        <v>1000000000000</v>
      </c>
      <c r="AS151" s="215">
        <f ca="1">IF($D151&lt;&gt;"Serviço",0,IF(AND(AUTOEVENTO="Manual",$M151=1),0,IF(OFFSET(CRONOPLE!$F$14,$M151,AS$13)="",10^12,OFFSET(CRONOPLE!$F$14,$M151,AS$13))))</f>
        <v>1000000000000</v>
      </c>
      <c r="AT151" s="215">
        <f ca="1">IF($D151&lt;&gt;"Serviço",0,IF(AND(AUTOEVENTO="Manual",$M151=1),0,IF(OFFSET(CRONOPLE!$F$14,$M151,AT$13)="",10^12,OFFSET(CRONOPLE!$F$14,$M151,AT$13))))</f>
        <v>1000000000000</v>
      </c>
      <c r="AU151" s="215">
        <f ca="1">IF($D151&lt;&gt;"Serviço",0,IF(AND(AUTOEVENTO="Manual",$M151=1),0,IF(OFFSET(CRONOPLE!$F$14,$M151,AU$13)="",10^12,OFFSET(CRONOPLE!$F$14,$M151,AU$13))))</f>
        <v>1000000000000</v>
      </c>
      <c r="AV151" s="215">
        <f ca="1">IF($D151&lt;&gt;"Serviço",0,IF(AND(AUTOEVENTO="Manual",$M151=1),0,IF(OFFSET(CRONOPLE!$F$14,$M151,AV$13)="",10^12,OFFSET(CRONOPLE!$F$14,$M151,AV$13))))</f>
        <v>1000000000000</v>
      </c>
      <c r="AX151" s="216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6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6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6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6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6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6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6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6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6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37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5" t="str">
        <f ca="1">OFFSET(ORÇAMENTO!N$15,ROW(D152)-ROW(D$15),0)</f>
        <v>Serviço</v>
      </c>
      <c r="E152" s="205" t="str">
        <f ca="1">OFFSET(ORÇAMENTO!O$15,ROW(E152)-ROW(E$15),0)</f>
        <v>-</v>
      </c>
      <c r="F152" s="206" t="str">
        <f ca="1">OFFSET(ORÇAMENTO!R$15,ROW(F152)-ROW(F$15),0)</f>
        <v>(abra o arquivo 'Referência 05-2023.xls)</v>
      </c>
      <c r="G152" s="207" t="str">
        <f ca="1">IF($D152&lt;&gt;"Serviço","",OFFSET(ORÇAMENTO!S$15,ROW(G152)-ROW(G$15),0))</f>
        <v>-</v>
      </c>
      <c r="H152" s="151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1"/>
      <c r="K152" s="208"/>
      <c r="L152" s="209" t="s">
        <v>254</v>
      </c>
      <c r="M152" s="210">
        <f ca="1">IF($D152&lt;&gt;"Serviço","",IF(AUTOEVENTO="manual",$A152,IF(ISERROR(MATCH($A152,$A$15:OFFSET($A152,-1,0),0)),MAX($M$15:OFFSET(M152,-1,0))+1,INDEX($M$15:OFFSET(M152,-1,0),MATCH($A152,$A$15:OFFSET($A152,-1,0),0)))))</f>
        <v>5</v>
      </c>
      <c r="N152" s="211" t="str">
        <f ca="1">IF($D152&lt;&gt;"Serviço","",IF(AUTOEVENTO="Manual",IF($A152=0,"&lt;-- defina o número do agrupador",OFFSET(EVENTOS!$D$14,$A152,0)),OFFSET($F$15,$A152,0)))</f>
        <v>PINTURAS E TEXTURAS</v>
      </c>
      <c r="O152" s="212"/>
      <c r="Q152" s="212"/>
      <c r="R152" s="213"/>
      <c r="S152" s="213"/>
      <c r="T152" s="213"/>
      <c r="U152" s="213"/>
      <c r="V152" s="213"/>
      <c r="W152" s="213"/>
      <c r="X152" s="213"/>
      <c r="Y152" s="213"/>
      <c r="Z152" s="214"/>
      <c r="AB152" s="592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3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3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3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3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3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3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3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3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4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5">
        <f ca="1">IF($D152&lt;&gt;"Serviço",0,IF(AND(AUTOEVENTO="Manual",$M152=1),0,IF(OFFSET(CRONOPLE!$F$14,$M152,AM$13)="",10^12,OFFSET(CRONOPLE!$F$14,$M152,AM$13))))</f>
        <v>2</v>
      </c>
      <c r="AN152" s="215">
        <f ca="1">IF($D152&lt;&gt;"Serviço",0,IF(AND(AUTOEVENTO="Manual",$M152=1),0,IF(OFFSET(CRONOPLE!$F$14,$M152,AN$13)="",10^12,OFFSET(CRONOPLE!$F$14,$M152,AN$13))))</f>
        <v>2</v>
      </c>
      <c r="AO152" s="215">
        <f ca="1">IF($D152&lt;&gt;"Serviço",0,IF(AND(AUTOEVENTO="Manual",$M152=1),0,IF(OFFSET(CRONOPLE!$F$14,$M152,AO$13)="",10^12,OFFSET(CRONOPLE!$F$14,$M152,AO$13))))</f>
        <v>3</v>
      </c>
      <c r="AP152" s="215">
        <f ca="1">IF($D152&lt;&gt;"Serviço",0,IF(AND(AUTOEVENTO="Manual",$M152=1),0,IF(OFFSET(CRONOPLE!$F$14,$M152,AP$13)="",10^12,OFFSET(CRONOPLE!$F$14,$M152,AP$13))))</f>
        <v>1000000000000</v>
      </c>
      <c r="AQ152" s="215">
        <f ca="1">IF($D152&lt;&gt;"Serviço",0,IF(AND(AUTOEVENTO="Manual",$M152=1),0,IF(OFFSET(CRONOPLE!$F$14,$M152,AQ$13)="",10^12,OFFSET(CRONOPLE!$F$14,$M152,AQ$13))))</f>
        <v>1000000000000</v>
      </c>
      <c r="AR152" s="215">
        <f ca="1">IF($D152&lt;&gt;"Serviço",0,IF(AND(AUTOEVENTO="Manual",$M152=1),0,IF(OFFSET(CRONOPLE!$F$14,$M152,AR$13)="",10^12,OFFSET(CRONOPLE!$F$14,$M152,AR$13))))</f>
        <v>1000000000000</v>
      </c>
      <c r="AS152" s="215">
        <f ca="1">IF($D152&lt;&gt;"Serviço",0,IF(AND(AUTOEVENTO="Manual",$M152=1),0,IF(OFFSET(CRONOPLE!$F$14,$M152,AS$13)="",10^12,OFFSET(CRONOPLE!$F$14,$M152,AS$13))))</f>
        <v>1000000000000</v>
      </c>
      <c r="AT152" s="215">
        <f ca="1">IF($D152&lt;&gt;"Serviço",0,IF(AND(AUTOEVENTO="Manual",$M152=1),0,IF(OFFSET(CRONOPLE!$F$14,$M152,AT$13)="",10^12,OFFSET(CRONOPLE!$F$14,$M152,AT$13))))</f>
        <v>1000000000000</v>
      </c>
      <c r="AU152" s="215">
        <f ca="1">IF($D152&lt;&gt;"Serviço",0,IF(AND(AUTOEVENTO="Manual",$M152=1),0,IF(OFFSET(CRONOPLE!$F$14,$M152,AU$13)="",10^12,OFFSET(CRONOPLE!$F$14,$M152,AU$13))))</f>
        <v>1000000000000</v>
      </c>
      <c r="AV152" s="215">
        <f ca="1">IF($D152&lt;&gt;"Serviço",0,IF(AND(AUTOEVENTO="Manual",$M152=1),0,IF(OFFSET(CRONOPLE!$F$14,$M152,AV$13)="",10^12,OFFSET(CRONOPLE!$F$14,$M152,AV$13))))</f>
        <v>1000000000000</v>
      </c>
      <c r="AX152" s="216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6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6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6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6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6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6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6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6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6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37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5" t="str">
        <f ca="1">OFFSET(ORÇAMENTO!N$15,ROW(D153)-ROW(D$15),0)</f>
        <v>Serviço</v>
      </c>
      <c r="E153" s="205" t="str">
        <f ca="1">OFFSET(ORÇAMENTO!O$15,ROW(E153)-ROW(E$15),0)</f>
        <v>-</v>
      </c>
      <c r="F153" s="206" t="str">
        <f ca="1">OFFSET(ORÇAMENTO!R$15,ROW(F153)-ROW(F$15),0)</f>
        <v>(abra o arquivo 'Referência 05-2023.xls)</v>
      </c>
      <c r="G153" s="207" t="str">
        <f ca="1">IF($D153&lt;&gt;"Serviço","",OFFSET(ORÇAMENTO!S$15,ROW(G153)-ROW(G$15),0))</f>
        <v>-</v>
      </c>
      <c r="H153" s="151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1"/>
      <c r="K153" s="208"/>
      <c r="L153" s="209" t="s">
        <v>254</v>
      </c>
      <c r="M153" s="210">
        <f ca="1">IF($D153&lt;&gt;"Serviço","",IF(AUTOEVENTO="manual",$A153,IF(ISERROR(MATCH($A153,$A$15:OFFSET($A153,-1,0),0)),MAX($M$15:OFFSET(M153,-1,0))+1,INDEX($M$15:OFFSET(M153,-1,0),MATCH($A153,$A$15:OFFSET($A153,-1,0),0)))))</f>
        <v>5</v>
      </c>
      <c r="N153" s="211" t="str">
        <f ca="1">IF($D153&lt;&gt;"Serviço","",IF(AUTOEVENTO="Manual",IF($A153=0,"&lt;-- defina o número do agrupador",OFFSET(EVENTOS!$D$14,$A153,0)),OFFSET($F$15,$A153,0)))</f>
        <v>PINTURAS E TEXTURAS</v>
      </c>
      <c r="O153" s="212"/>
      <c r="Q153" s="212"/>
      <c r="R153" s="213"/>
      <c r="S153" s="213"/>
      <c r="T153" s="213"/>
      <c r="U153" s="213"/>
      <c r="V153" s="213"/>
      <c r="W153" s="213"/>
      <c r="X153" s="213"/>
      <c r="Y153" s="213"/>
      <c r="Z153" s="214"/>
      <c r="AB153" s="592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3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3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3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3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3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3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3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3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4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5">
        <f ca="1">IF($D153&lt;&gt;"Serviço",0,IF(AND(AUTOEVENTO="Manual",$M153=1),0,IF(OFFSET(CRONOPLE!$F$14,$M153,AM$13)="",10^12,OFFSET(CRONOPLE!$F$14,$M153,AM$13))))</f>
        <v>2</v>
      </c>
      <c r="AN153" s="215">
        <f ca="1">IF($D153&lt;&gt;"Serviço",0,IF(AND(AUTOEVENTO="Manual",$M153=1),0,IF(OFFSET(CRONOPLE!$F$14,$M153,AN$13)="",10^12,OFFSET(CRONOPLE!$F$14,$M153,AN$13))))</f>
        <v>2</v>
      </c>
      <c r="AO153" s="215">
        <f ca="1">IF($D153&lt;&gt;"Serviço",0,IF(AND(AUTOEVENTO="Manual",$M153=1),0,IF(OFFSET(CRONOPLE!$F$14,$M153,AO$13)="",10^12,OFFSET(CRONOPLE!$F$14,$M153,AO$13))))</f>
        <v>3</v>
      </c>
      <c r="AP153" s="215">
        <f ca="1">IF($D153&lt;&gt;"Serviço",0,IF(AND(AUTOEVENTO="Manual",$M153=1),0,IF(OFFSET(CRONOPLE!$F$14,$M153,AP$13)="",10^12,OFFSET(CRONOPLE!$F$14,$M153,AP$13))))</f>
        <v>1000000000000</v>
      </c>
      <c r="AQ153" s="215">
        <f ca="1">IF($D153&lt;&gt;"Serviço",0,IF(AND(AUTOEVENTO="Manual",$M153=1),0,IF(OFFSET(CRONOPLE!$F$14,$M153,AQ$13)="",10^12,OFFSET(CRONOPLE!$F$14,$M153,AQ$13))))</f>
        <v>1000000000000</v>
      </c>
      <c r="AR153" s="215">
        <f ca="1">IF($D153&lt;&gt;"Serviço",0,IF(AND(AUTOEVENTO="Manual",$M153=1),0,IF(OFFSET(CRONOPLE!$F$14,$M153,AR$13)="",10^12,OFFSET(CRONOPLE!$F$14,$M153,AR$13))))</f>
        <v>1000000000000</v>
      </c>
      <c r="AS153" s="215">
        <f ca="1">IF($D153&lt;&gt;"Serviço",0,IF(AND(AUTOEVENTO="Manual",$M153=1),0,IF(OFFSET(CRONOPLE!$F$14,$M153,AS$13)="",10^12,OFFSET(CRONOPLE!$F$14,$M153,AS$13))))</f>
        <v>1000000000000</v>
      </c>
      <c r="AT153" s="215">
        <f ca="1">IF($D153&lt;&gt;"Serviço",0,IF(AND(AUTOEVENTO="Manual",$M153=1),0,IF(OFFSET(CRONOPLE!$F$14,$M153,AT$13)="",10^12,OFFSET(CRONOPLE!$F$14,$M153,AT$13))))</f>
        <v>1000000000000</v>
      </c>
      <c r="AU153" s="215">
        <f ca="1">IF($D153&lt;&gt;"Serviço",0,IF(AND(AUTOEVENTO="Manual",$M153=1),0,IF(OFFSET(CRONOPLE!$F$14,$M153,AU$13)="",10^12,OFFSET(CRONOPLE!$F$14,$M153,AU$13))))</f>
        <v>1000000000000</v>
      </c>
      <c r="AV153" s="215">
        <f ca="1">IF($D153&lt;&gt;"Serviço",0,IF(AND(AUTOEVENTO="Manual",$M153=1),0,IF(OFFSET(CRONOPLE!$F$14,$M153,AV$13)="",10^12,OFFSET(CRONOPLE!$F$14,$M153,AV$13))))</f>
        <v>1000000000000</v>
      </c>
      <c r="AX153" s="216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6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6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6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6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6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6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6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6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6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37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5" t="str">
        <f ca="1">OFFSET(ORÇAMENTO!N$15,ROW(D154)-ROW(D$15),0)</f>
        <v>Serviço</v>
      </c>
      <c r="E154" s="205" t="str">
        <f ca="1">OFFSET(ORÇAMENTO!O$15,ROW(E154)-ROW(E$15),0)</f>
        <v>-</v>
      </c>
      <c r="F154" s="206" t="str">
        <f ca="1">OFFSET(ORÇAMENTO!R$15,ROW(F154)-ROW(F$15),0)</f>
        <v>(abra o arquivo 'Referência 05-2023.xls)</v>
      </c>
      <c r="G154" s="207" t="str">
        <f ca="1">IF($D154&lt;&gt;"Serviço","",OFFSET(ORÇAMENTO!S$15,ROW(G154)-ROW(G$15),0))</f>
        <v>-</v>
      </c>
      <c r="H154" s="151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1"/>
      <c r="K154" s="208"/>
      <c r="L154" s="209" t="s">
        <v>254</v>
      </c>
      <c r="M154" s="210">
        <f ca="1">IF($D154&lt;&gt;"Serviço","",IF(AUTOEVENTO="manual",$A154,IF(ISERROR(MATCH($A154,$A$15:OFFSET($A154,-1,0),0)),MAX($M$15:OFFSET(M154,-1,0))+1,INDEX($M$15:OFFSET(M154,-1,0),MATCH($A154,$A$15:OFFSET($A154,-1,0),0)))))</f>
        <v>5</v>
      </c>
      <c r="N154" s="211" t="str">
        <f ca="1">IF($D154&lt;&gt;"Serviço","",IF(AUTOEVENTO="Manual",IF($A154=0,"&lt;-- defina o número do agrupador",OFFSET(EVENTOS!$D$14,$A154,0)),OFFSET($F$15,$A154,0)))</f>
        <v>PINTURAS E TEXTURAS</v>
      </c>
      <c r="O154" s="212"/>
      <c r="Q154" s="212"/>
      <c r="R154" s="213"/>
      <c r="S154" s="213"/>
      <c r="T154" s="213"/>
      <c r="U154" s="213"/>
      <c r="V154" s="213"/>
      <c r="W154" s="213"/>
      <c r="X154" s="213"/>
      <c r="Y154" s="213"/>
      <c r="Z154" s="214"/>
      <c r="AB154" s="592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3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3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3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3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3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3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3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3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4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5">
        <f ca="1">IF($D154&lt;&gt;"Serviço",0,IF(AND(AUTOEVENTO="Manual",$M154=1),0,IF(OFFSET(CRONOPLE!$F$14,$M154,AM$13)="",10^12,OFFSET(CRONOPLE!$F$14,$M154,AM$13))))</f>
        <v>2</v>
      </c>
      <c r="AN154" s="215">
        <f ca="1">IF($D154&lt;&gt;"Serviço",0,IF(AND(AUTOEVENTO="Manual",$M154=1),0,IF(OFFSET(CRONOPLE!$F$14,$M154,AN$13)="",10^12,OFFSET(CRONOPLE!$F$14,$M154,AN$13))))</f>
        <v>2</v>
      </c>
      <c r="AO154" s="215">
        <f ca="1">IF($D154&lt;&gt;"Serviço",0,IF(AND(AUTOEVENTO="Manual",$M154=1),0,IF(OFFSET(CRONOPLE!$F$14,$M154,AO$13)="",10^12,OFFSET(CRONOPLE!$F$14,$M154,AO$13))))</f>
        <v>3</v>
      </c>
      <c r="AP154" s="215">
        <f ca="1">IF($D154&lt;&gt;"Serviço",0,IF(AND(AUTOEVENTO="Manual",$M154=1),0,IF(OFFSET(CRONOPLE!$F$14,$M154,AP$13)="",10^12,OFFSET(CRONOPLE!$F$14,$M154,AP$13))))</f>
        <v>1000000000000</v>
      </c>
      <c r="AQ154" s="215">
        <f ca="1">IF($D154&lt;&gt;"Serviço",0,IF(AND(AUTOEVENTO="Manual",$M154=1),0,IF(OFFSET(CRONOPLE!$F$14,$M154,AQ$13)="",10^12,OFFSET(CRONOPLE!$F$14,$M154,AQ$13))))</f>
        <v>1000000000000</v>
      </c>
      <c r="AR154" s="215">
        <f ca="1">IF($D154&lt;&gt;"Serviço",0,IF(AND(AUTOEVENTO="Manual",$M154=1),0,IF(OFFSET(CRONOPLE!$F$14,$M154,AR$13)="",10^12,OFFSET(CRONOPLE!$F$14,$M154,AR$13))))</f>
        <v>1000000000000</v>
      </c>
      <c r="AS154" s="215">
        <f ca="1">IF($D154&lt;&gt;"Serviço",0,IF(AND(AUTOEVENTO="Manual",$M154=1),0,IF(OFFSET(CRONOPLE!$F$14,$M154,AS$13)="",10^12,OFFSET(CRONOPLE!$F$14,$M154,AS$13))))</f>
        <v>1000000000000</v>
      </c>
      <c r="AT154" s="215">
        <f ca="1">IF($D154&lt;&gt;"Serviço",0,IF(AND(AUTOEVENTO="Manual",$M154=1),0,IF(OFFSET(CRONOPLE!$F$14,$M154,AT$13)="",10^12,OFFSET(CRONOPLE!$F$14,$M154,AT$13))))</f>
        <v>1000000000000</v>
      </c>
      <c r="AU154" s="215">
        <f ca="1">IF($D154&lt;&gt;"Serviço",0,IF(AND(AUTOEVENTO="Manual",$M154=1),0,IF(OFFSET(CRONOPLE!$F$14,$M154,AU$13)="",10^12,OFFSET(CRONOPLE!$F$14,$M154,AU$13))))</f>
        <v>1000000000000</v>
      </c>
      <c r="AV154" s="215">
        <f ca="1">IF($D154&lt;&gt;"Serviço",0,IF(AND(AUTOEVENTO="Manual",$M154=1),0,IF(OFFSET(CRONOPLE!$F$14,$M154,AV$13)="",10^12,OFFSET(CRONOPLE!$F$14,$M154,AV$13))))</f>
        <v>1000000000000</v>
      </c>
      <c r="AX154" s="216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6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6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6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6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6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6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6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6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6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37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5" t="str">
        <f ca="1">OFFSET(ORÇAMENTO!N$15,ROW(D155)-ROW(D$15),0)</f>
        <v>Serviço</v>
      </c>
      <c r="E155" s="205" t="str">
        <f ca="1">OFFSET(ORÇAMENTO!O$15,ROW(E155)-ROW(E$15),0)</f>
        <v>-</v>
      </c>
      <c r="F155" s="206" t="str">
        <f ca="1">OFFSET(ORÇAMENTO!R$15,ROW(F155)-ROW(F$15),0)</f>
        <v>(abra o arquivo 'Referência 05-2023.xls)</v>
      </c>
      <c r="G155" s="207" t="str">
        <f ca="1">IF($D155&lt;&gt;"Serviço","",OFFSET(ORÇAMENTO!S$15,ROW(G155)-ROW(G$15),0))</f>
        <v>-</v>
      </c>
      <c r="H155" s="151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1"/>
      <c r="K155" s="208"/>
      <c r="L155" s="209" t="s">
        <v>254</v>
      </c>
      <c r="M155" s="210">
        <f ca="1">IF($D155&lt;&gt;"Serviço","",IF(AUTOEVENTO="manual",$A155,IF(ISERROR(MATCH($A155,$A$15:OFFSET($A155,-1,0),0)),MAX($M$15:OFFSET(M155,-1,0))+1,INDEX($M$15:OFFSET(M155,-1,0),MATCH($A155,$A$15:OFFSET($A155,-1,0),0)))))</f>
        <v>5</v>
      </c>
      <c r="N155" s="211" t="str">
        <f ca="1">IF($D155&lt;&gt;"Serviço","",IF(AUTOEVENTO="Manual",IF($A155=0,"&lt;-- defina o número do agrupador",OFFSET(EVENTOS!$D$14,$A155,0)),OFFSET($F$15,$A155,0)))</f>
        <v>PINTURAS E TEXTURAS</v>
      </c>
      <c r="O155" s="212"/>
      <c r="Q155" s="212"/>
      <c r="R155" s="213"/>
      <c r="S155" s="213"/>
      <c r="T155" s="213"/>
      <c r="U155" s="213"/>
      <c r="V155" s="213"/>
      <c r="W155" s="213"/>
      <c r="X155" s="213"/>
      <c r="Y155" s="213"/>
      <c r="Z155" s="214"/>
      <c r="AB155" s="592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3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3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3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3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3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3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3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3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4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5">
        <f ca="1">IF($D155&lt;&gt;"Serviço",0,IF(AND(AUTOEVENTO="Manual",$M155=1),0,IF(OFFSET(CRONOPLE!$F$14,$M155,AM$13)="",10^12,OFFSET(CRONOPLE!$F$14,$M155,AM$13))))</f>
        <v>2</v>
      </c>
      <c r="AN155" s="215">
        <f ca="1">IF($D155&lt;&gt;"Serviço",0,IF(AND(AUTOEVENTO="Manual",$M155=1),0,IF(OFFSET(CRONOPLE!$F$14,$M155,AN$13)="",10^12,OFFSET(CRONOPLE!$F$14,$M155,AN$13))))</f>
        <v>2</v>
      </c>
      <c r="AO155" s="215">
        <f ca="1">IF($D155&lt;&gt;"Serviço",0,IF(AND(AUTOEVENTO="Manual",$M155=1),0,IF(OFFSET(CRONOPLE!$F$14,$M155,AO$13)="",10^12,OFFSET(CRONOPLE!$F$14,$M155,AO$13))))</f>
        <v>3</v>
      </c>
      <c r="AP155" s="215">
        <f ca="1">IF($D155&lt;&gt;"Serviço",0,IF(AND(AUTOEVENTO="Manual",$M155=1),0,IF(OFFSET(CRONOPLE!$F$14,$M155,AP$13)="",10^12,OFFSET(CRONOPLE!$F$14,$M155,AP$13))))</f>
        <v>1000000000000</v>
      </c>
      <c r="AQ155" s="215">
        <f ca="1">IF($D155&lt;&gt;"Serviço",0,IF(AND(AUTOEVENTO="Manual",$M155=1),0,IF(OFFSET(CRONOPLE!$F$14,$M155,AQ$13)="",10^12,OFFSET(CRONOPLE!$F$14,$M155,AQ$13))))</f>
        <v>1000000000000</v>
      </c>
      <c r="AR155" s="215">
        <f ca="1">IF($D155&lt;&gt;"Serviço",0,IF(AND(AUTOEVENTO="Manual",$M155=1),0,IF(OFFSET(CRONOPLE!$F$14,$M155,AR$13)="",10^12,OFFSET(CRONOPLE!$F$14,$M155,AR$13))))</f>
        <v>1000000000000</v>
      </c>
      <c r="AS155" s="215">
        <f ca="1">IF($D155&lt;&gt;"Serviço",0,IF(AND(AUTOEVENTO="Manual",$M155=1),0,IF(OFFSET(CRONOPLE!$F$14,$M155,AS$13)="",10^12,OFFSET(CRONOPLE!$F$14,$M155,AS$13))))</f>
        <v>1000000000000</v>
      </c>
      <c r="AT155" s="215">
        <f ca="1">IF($D155&lt;&gt;"Serviço",0,IF(AND(AUTOEVENTO="Manual",$M155=1),0,IF(OFFSET(CRONOPLE!$F$14,$M155,AT$13)="",10^12,OFFSET(CRONOPLE!$F$14,$M155,AT$13))))</f>
        <v>1000000000000</v>
      </c>
      <c r="AU155" s="215">
        <f ca="1">IF($D155&lt;&gt;"Serviço",0,IF(AND(AUTOEVENTO="Manual",$M155=1),0,IF(OFFSET(CRONOPLE!$F$14,$M155,AU$13)="",10^12,OFFSET(CRONOPLE!$F$14,$M155,AU$13))))</f>
        <v>1000000000000</v>
      </c>
      <c r="AV155" s="215">
        <f ca="1">IF($D155&lt;&gt;"Serviço",0,IF(AND(AUTOEVENTO="Manual",$M155=1),0,IF(OFFSET(CRONOPLE!$F$14,$M155,AV$13)="",10^12,OFFSET(CRONOPLE!$F$14,$M155,AV$13))))</f>
        <v>1000000000000</v>
      </c>
      <c r="AX155" s="216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6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6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6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6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6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6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6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6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6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37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5" t="str">
        <f ca="1">OFFSET(ORÇAMENTO!N$15,ROW(D156)-ROW(D$15),0)</f>
        <v>Serviço</v>
      </c>
      <c r="E156" s="205" t="str">
        <f ca="1">OFFSET(ORÇAMENTO!O$15,ROW(E156)-ROW(E$15),0)</f>
        <v>-</v>
      </c>
      <c r="F156" s="206" t="str">
        <f ca="1">OFFSET(ORÇAMENTO!R$15,ROW(F156)-ROW(F$15),0)</f>
        <v>(abra o arquivo 'Referência 05-2023.xls)</v>
      </c>
      <c r="G156" s="207" t="str">
        <f ca="1">IF($D156&lt;&gt;"Serviço","",OFFSET(ORÇAMENTO!S$15,ROW(G156)-ROW(G$15),0))</f>
        <v>-</v>
      </c>
      <c r="H156" s="151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1"/>
      <c r="K156" s="208"/>
      <c r="L156" s="209" t="s">
        <v>254</v>
      </c>
      <c r="M156" s="210">
        <f ca="1">IF($D156&lt;&gt;"Serviço","",IF(AUTOEVENTO="manual",$A156,IF(ISERROR(MATCH($A156,$A$15:OFFSET($A156,-1,0),0)),MAX($M$15:OFFSET(M156,-1,0))+1,INDEX($M$15:OFFSET(M156,-1,0),MATCH($A156,$A$15:OFFSET($A156,-1,0),0)))))</f>
        <v>5</v>
      </c>
      <c r="N156" s="211" t="str">
        <f ca="1">IF($D156&lt;&gt;"Serviço","",IF(AUTOEVENTO="Manual",IF($A156=0,"&lt;-- defina o número do agrupador",OFFSET(EVENTOS!$D$14,$A156,0)),OFFSET($F$15,$A156,0)))</f>
        <v>PINTURAS E TEXTURAS</v>
      </c>
      <c r="O156" s="212"/>
      <c r="Q156" s="212"/>
      <c r="R156" s="213"/>
      <c r="S156" s="213"/>
      <c r="T156" s="213"/>
      <c r="U156" s="213"/>
      <c r="V156" s="213"/>
      <c r="W156" s="213"/>
      <c r="X156" s="213"/>
      <c r="Y156" s="213"/>
      <c r="Z156" s="214"/>
      <c r="AB156" s="592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3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3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3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3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3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3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3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3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4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5">
        <f ca="1">IF($D156&lt;&gt;"Serviço",0,IF(AND(AUTOEVENTO="Manual",$M156=1),0,IF(OFFSET(CRONOPLE!$F$14,$M156,AM$13)="",10^12,OFFSET(CRONOPLE!$F$14,$M156,AM$13))))</f>
        <v>2</v>
      </c>
      <c r="AN156" s="215">
        <f ca="1">IF($D156&lt;&gt;"Serviço",0,IF(AND(AUTOEVENTO="Manual",$M156=1),0,IF(OFFSET(CRONOPLE!$F$14,$M156,AN$13)="",10^12,OFFSET(CRONOPLE!$F$14,$M156,AN$13))))</f>
        <v>2</v>
      </c>
      <c r="AO156" s="215">
        <f ca="1">IF($D156&lt;&gt;"Serviço",0,IF(AND(AUTOEVENTO="Manual",$M156=1),0,IF(OFFSET(CRONOPLE!$F$14,$M156,AO$13)="",10^12,OFFSET(CRONOPLE!$F$14,$M156,AO$13))))</f>
        <v>3</v>
      </c>
      <c r="AP156" s="215">
        <f ca="1">IF($D156&lt;&gt;"Serviço",0,IF(AND(AUTOEVENTO="Manual",$M156=1),0,IF(OFFSET(CRONOPLE!$F$14,$M156,AP$13)="",10^12,OFFSET(CRONOPLE!$F$14,$M156,AP$13))))</f>
        <v>1000000000000</v>
      </c>
      <c r="AQ156" s="215">
        <f ca="1">IF($D156&lt;&gt;"Serviço",0,IF(AND(AUTOEVENTO="Manual",$M156=1),0,IF(OFFSET(CRONOPLE!$F$14,$M156,AQ$13)="",10^12,OFFSET(CRONOPLE!$F$14,$M156,AQ$13))))</f>
        <v>1000000000000</v>
      </c>
      <c r="AR156" s="215">
        <f ca="1">IF($D156&lt;&gt;"Serviço",0,IF(AND(AUTOEVENTO="Manual",$M156=1),0,IF(OFFSET(CRONOPLE!$F$14,$M156,AR$13)="",10^12,OFFSET(CRONOPLE!$F$14,$M156,AR$13))))</f>
        <v>1000000000000</v>
      </c>
      <c r="AS156" s="215">
        <f ca="1">IF($D156&lt;&gt;"Serviço",0,IF(AND(AUTOEVENTO="Manual",$M156=1),0,IF(OFFSET(CRONOPLE!$F$14,$M156,AS$13)="",10^12,OFFSET(CRONOPLE!$F$14,$M156,AS$13))))</f>
        <v>1000000000000</v>
      </c>
      <c r="AT156" s="215">
        <f ca="1">IF($D156&lt;&gt;"Serviço",0,IF(AND(AUTOEVENTO="Manual",$M156=1),0,IF(OFFSET(CRONOPLE!$F$14,$M156,AT$13)="",10^12,OFFSET(CRONOPLE!$F$14,$M156,AT$13))))</f>
        <v>1000000000000</v>
      </c>
      <c r="AU156" s="215">
        <f ca="1">IF($D156&lt;&gt;"Serviço",0,IF(AND(AUTOEVENTO="Manual",$M156=1),0,IF(OFFSET(CRONOPLE!$F$14,$M156,AU$13)="",10^12,OFFSET(CRONOPLE!$F$14,$M156,AU$13))))</f>
        <v>1000000000000</v>
      </c>
      <c r="AV156" s="215">
        <f ca="1">IF($D156&lt;&gt;"Serviço",0,IF(AND(AUTOEVENTO="Manual",$M156=1),0,IF(OFFSET(CRONOPLE!$F$14,$M156,AV$13)="",10^12,OFFSET(CRONOPLE!$F$14,$M156,AV$13))))</f>
        <v>1000000000000</v>
      </c>
      <c r="AX156" s="216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6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6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6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6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6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6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6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6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6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37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5" t="str">
        <f ca="1">OFFSET(ORÇAMENTO!N$15,ROW(D157)-ROW(D$15),0)</f>
        <v>Serviço</v>
      </c>
      <c r="E157" s="205" t="str">
        <f ca="1">OFFSET(ORÇAMENTO!O$15,ROW(E157)-ROW(E$15),0)</f>
        <v>-</v>
      </c>
      <c r="F157" s="206" t="str">
        <f ca="1">OFFSET(ORÇAMENTO!R$15,ROW(F157)-ROW(F$15),0)</f>
        <v>(abra o arquivo 'Referência 05-2023.xls)</v>
      </c>
      <c r="G157" s="207" t="str">
        <f ca="1">IF($D157&lt;&gt;"Serviço","",OFFSET(ORÇAMENTO!S$15,ROW(G157)-ROW(G$15),0))</f>
        <v>-</v>
      </c>
      <c r="H157" s="151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1"/>
      <c r="K157" s="208"/>
      <c r="L157" s="209" t="s">
        <v>254</v>
      </c>
      <c r="M157" s="210">
        <f ca="1">IF($D157&lt;&gt;"Serviço","",IF(AUTOEVENTO="manual",$A157,IF(ISERROR(MATCH($A157,$A$15:OFFSET($A157,-1,0),0)),MAX($M$15:OFFSET(M157,-1,0))+1,INDEX($M$15:OFFSET(M157,-1,0),MATCH($A157,$A$15:OFFSET($A157,-1,0),0)))))</f>
        <v>5</v>
      </c>
      <c r="N157" s="211" t="str">
        <f ca="1">IF($D157&lt;&gt;"Serviço","",IF(AUTOEVENTO="Manual",IF($A157=0,"&lt;-- defina o número do agrupador",OFFSET(EVENTOS!$D$14,$A157,0)),OFFSET($F$15,$A157,0)))</f>
        <v>PINTURAS E TEXTURAS</v>
      </c>
      <c r="O157" s="212"/>
      <c r="Q157" s="212"/>
      <c r="R157" s="213"/>
      <c r="S157" s="213"/>
      <c r="T157" s="213"/>
      <c r="U157" s="213"/>
      <c r="V157" s="213"/>
      <c r="W157" s="213"/>
      <c r="X157" s="213"/>
      <c r="Y157" s="213"/>
      <c r="Z157" s="214"/>
      <c r="AB157" s="592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3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3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3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3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3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3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3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3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4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5">
        <f ca="1">IF($D157&lt;&gt;"Serviço",0,IF(AND(AUTOEVENTO="Manual",$M157=1),0,IF(OFFSET(CRONOPLE!$F$14,$M157,AM$13)="",10^12,OFFSET(CRONOPLE!$F$14,$M157,AM$13))))</f>
        <v>2</v>
      </c>
      <c r="AN157" s="215">
        <f ca="1">IF($D157&lt;&gt;"Serviço",0,IF(AND(AUTOEVENTO="Manual",$M157=1),0,IF(OFFSET(CRONOPLE!$F$14,$M157,AN$13)="",10^12,OFFSET(CRONOPLE!$F$14,$M157,AN$13))))</f>
        <v>2</v>
      </c>
      <c r="AO157" s="215">
        <f ca="1">IF($D157&lt;&gt;"Serviço",0,IF(AND(AUTOEVENTO="Manual",$M157=1),0,IF(OFFSET(CRONOPLE!$F$14,$M157,AO$13)="",10^12,OFFSET(CRONOPLE!$F$14,$M157,AO$13))))</f>
        <v>3</v>
      </c>
      <c r="AP157" s="215">
        <f ca="1">IF($D157&lt;&gt;"Serviço",0,IF(AND(AUTOEVENTO="Manual",$M157=1),0,IF(OFFSET(CRONOPLE!$F$14,$M157,AP$13)="",10^12,OFFSET(CRONOPLE!$F$14,$M157,AP$13))))</f>
        <v>1000000000000</v>
      </c>
      <c r="AQ157" s="215">
        <f ca="1">IF($D157&lt;&gt;"Serviço",0,IF(AND(AUTOEVENTO="Manual",$M157=1),0,IF(OFFSET(CRONOPLE!$F$14,$M157,AQ$13)="",10^12,OFFSET(CRONOPLE!$F$14,$M157,AQ$13))))</f>
        <v>1000000000000</v>
      </c>
      <c r="AR157" s="215">
        <f ca="1">IF($D157&lt;&gt;"Serviço",0,IF(AND(AUTOEVENTO="Manual",$M157=1),0,IF(OFFSET(CRONOPLE!$F$14,$M157,AR$13)="",10^12,OFFSET(CRONOPLE!$F$14,$M157,AR$13))))</f>
        <v>1000000000000</v>
      </c>
      <c r="AS157" s="215">
        <f ca="1">IF($D157&lt;&gt;"Serviço",0,IF(AND(AUTOEVENTO="Manual",$M157=1),0,IF(OFFSET(CRONOPLE!$F$14,$M157,AS$13)="",10^12,OFFSET(CRONOPLE!$F$14,$M157,AS$13))))</f>
        <v>1000000000000</v>
      </c>
      <c r="AT157" s="215">
        <f ca="1">IF($D157&lt;&gt;"Serviço",0,IF(AND(AUTOEVENTO="Manual",$M157=1),0,IF(OFFSET(CRONOPLE!$F$14,$M157,AT$13)="",10^12,OFFSET(CRONOPLE!$F$14,$M157,AT$13))))</f>
        <v>1000000000000</v>
      </c>
      <c r="AU157" s="215">
        <f ca="1">IF($D157&lt;&gt;"Serviço",0,IF(AND(AUTOEVENTO="Manual",$M157=1),0,IF(OFFSET(CRONOPLE!$F$14,$M157,AU$13)="",10^12,OFFSET(CRONOPLE!$F$14,$M157,AU$13))))</f>
        <v>1000000000000</v>
      </c>
      <c r="AV157" s="215">
        <f ca="1">IF($D157&lt;&gt;"Serviço",0,IF(AND(AUTOEVENTO="Manual",$M157=1),0,IF(OFFSET(CRONOPLE!$F$14,$M157,AV$13)="",10^12,OFFSET(CRONOPLE!$F$14,$M157,AV$13))))</f>
        <v>1000000000000</v>
      </c>
      <c r="AX157" s="216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6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6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6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6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6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6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6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6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6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37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5" t="str">
        <f ca="1">OFFSET(ORÇAMENTO!N$15,ROW(D158)-ROW(D$15),0)</f>
        <v>Serviço</v>
      </c>
      <c r="E158" s="205" t="str">
        <f ca="1">OFFSET(ORÇAMENTO!O$15,ROW(E158)-ROW(E$15),0)</f>
        <v>-</v>
      </c>
      <c r="F158" s="206" t="str">
        <f ca="1">OFFSET(ORÇAMENTO!R$15,ROW(F158)-ROW(F$15),0)</f>
        <v>(abra o arquivo 'Referência 05-2023.xls)</v>
      </c>
      <c r="G158" s="207" t="str">
        <f ca="1">IF($D158&lt;&gt;"Serviço","",OFFSET(ORÇAMENTO!S$15,ROW(G158)-ROW(G$15),0))</f>
        <v>-</v>
      </c>
      <c r="H158" s="151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1"/>
      <c r="K158" s="208"/>
      <c r="L158" s="209" t="s">
        <v>254</v>
      </c>
      <c r="M158" s="210">
        <f ca="1">IF($D158&lt;&gt;"Serviço","",IF(AUTOEVENTO="manual",$A158,IF(ISERROR(MATCH($A158,$A$15:OFFSET($A158,-1,0),0)),MAX($M$15:OFFSET(M158,-1,0))+1,INDEX($M$15:OFFSET(M158,-1,0),MATCH($A158,$A$15:OFFSET($A158,-1,0),0)))))</f>
        <v>5</v>
      </c>
      <c r="N158" s="211" t="str">
        <f ca="1">IF($D158&lt;&gt;"Serviço","",IF(AUTOEVENTO="Manual",IF($A158=0,"&lt;-- defina o número do agrupador",OFFSET(EVENTOS!$D$14,$A158,0)),OFFSET($F$15,$A158,0)))</f>
        <v>PINTURAS E TEXTURAS</v>
      </c>
      <c r="O158" s="212"/>
      <c r="Q158" s="212"/>
      <c r="R158" s="213"/>
      <c r="S158" s="213"/>
      <c r="T158" s="213"/>
      <c r="U158" s="213"/>
      <c r="V158" s="213"/>
      <c r="W158" s="213"/>
      <c r="X158" s="213"/>
      <c r="Y158" s="213"/>
      <c r="Z158" s="214"/>
      <c r="AB158" s="592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3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3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3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3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3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3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3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3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4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5">
        <f ca="1">IF($D158&lt;&gt;"Serviço",0,IF(AND(AUTOEVENTO="Manual",$M158=1),0,IF(OFFSET(CRONOPLE!$F$14,$M158,AM$13)="",10^12,OFFSET(CRONOPLE!$F$14,$M158,AM$13))))</f>
        <v>2</v>
      </c>
      <c r="AN158" s="215">
        <f ca="1">IF($D158&lt;&gt;"Serviço",0,IF(AND(AUTOEVENTO="Manual",$M158=1),0,IF(OFFSET(CRONOPLE!$F$14,$M158,AN$13)="",10^12,OFFSET(CRONOPLE!$F$14,$M158,AN$13))))</f>
        <v>2</v>
      </c>
      <c r="AO158" s="215">
        <f ca="1">IF($D158&lt;&gt;"Serviço",0,IF(AND(AUTOEVENTO="Manual",$M158=1),0,IF(OFFSET(CRONOPLE!$F$14,$M158,AO$13)="",10^12,OFFSET(CRONOPLE!$F$14,$M158,AO$13))))</f>
        <v>3</v>
      </c>
      <c r="AP158" s="215">
        <f ca="1">IF($D158&lt;&gt;"Serviço",0,IF(AND(AUTOEVENTO="Manual",$M158=1),0,IF(OFFSET(CRONOPLE!$F$14,$M158,AP$13)="",10^12,OFFSET(CRONOPLE!$F$14,$M158,AP$13))))</f>
        <v>1000000000000</v>
      </c>
      <c r="AQ158" s="215">
        <f ca="1">IF($D158&lt;&gt;"Serviço",0,IF(AND(AUTOEVENTO="Manual",$M158=1),0,IF(OFFSET(CRONOPLE!$F$14,$M158,AQ$13)="",10^12,OFFSET(CRONOPLE!$F$14,$M158,AQ$13))))</f>
        <v>1000000000000</v>
      </c>
      <c r="AR158" s="215">
        <f ca="1">IF($D158&lt;&gt;"Serviço",0,IF(AND(AUTOEVENTO="Manual",$M158=1),0,IF(OFFSET(CRONOPLE!$F$14,$M158,AR$13)="",10^12,OFFSET(CRONOPLE!$F$14,$M158,AR$13))))</f>
        <v>1000000000000</v>
      </c>
      <c r="AS158" s="215">
        <f ca="1">IF($D158&lt;&gt;"Serviço",0,IF(AND(AUTOEVENTO="Manual",$M158=1),0,IF(OFFSET(CRONOPLE!$F$14,$M158,AS$13)="",10^12,OFFSET(CRONOPLE!$F$14,$M158,AS$13))))</f>
        <v>1000000000000</v>
      </c>
      <c r="AT158" s="215">
        <f ca="1">IF($D158&lt;&gt;"Serviço",0,IF(AND(AUTOEVENTO="Manual",$M158=1),0,IF(OFFSET(CRONOPLE!$F$14,$M158,AT$13)="",10^12,OFFSET(CRONOPLE!$F$14,$M158,AT$13))))</f>
        <v>1000000000000</v>
      </c>
      <c r="AU158" s="215">
        <f ca="1">IF($D158&lt;&gt;"Serviço",0,IF(AND(AUTOEVENTO="Manual",$M158=1),0,IF(OFFSET(CRONOPLE!$F$14,$M158,AU$13)="",10^12,OFFSET(CRONOPLE!$F$14,$M158,AU$13))))</f>
        <v>1000000000000</v>
      </c>
      <c r="AV158" s="215">
        <f ca="1">IF($D158&lt;&gt;"Serviço",0,IF(AND(AUTOEVENTO="Manual",$M158=1),0,IF(OFFSET(CRONOPLE!$F$14,$M158,AV$13)="",10^12,OFFSET(CRONOPLE!$F$14,$M158,AV$13))))</f>
        <v>1000000000000</v>
      </c>
      <c r="AX158" s="216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6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6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6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6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6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6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6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6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6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37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5" t="str">
        <f ca="1">OFFSET(ORÇAMENTO!N$15,ROW(D159)-ROW(D$15),0)</f>
        <v>Serviço</v>
      </c>
      <c r="E159" s="205" t="str">
        <f ca="1">OFFSET(ORÇAMENTO!O$15,ROW(E159)-ROW(E$15),0)</f>
        <v>-</v>
      </c>
      <c r="F159" s="206" t="str">
        <f ca="1">OFFSET(ORÇAMENTO!R$15,ROW(F159)-ROW(F$15),0)</f>
        <v>(abra o arquivo 'Referência 05-2023.xls)</v>
      </c>
      <c r="G159" s="207" t="str">
        <f ca="1">IF($D159&lt;&gt;"Serviço","",OFFSET(ORÇAMENTO!S$15,ROW(G159)-ROW(G$15),0))</f>
        <v>-</v>
      </c>
      <c r="H159" s="151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1"/>
      <c r="K159" s="208"/>
      <c r="L159" s="209" t="s">
        <v>254</v>
      </c>
      <c r="M159" s="210">
        <f ca="1">IF($D159&lt;&gt;"Serviço","",IF(AUTOEVENTO="manual",$A159,IF(ISERROR(MATCH($A159,$A$15:OFFSET($A159,-1,0),0)),MAX($M$15:OFFSET(M159,-1,0))+1,INDEX($M$15:OFFSET(M159,-1,0),MATCH($A159,$A$15:OFFSET($A159,-1,0),0)))))</f>
        <v>5</v>
      </c>
      <c r="N159" s="211" t="str">
        <f ca="1">IF($D159&lt;&gt;"Serviço","",IF(AUTOEVENTO="Manual",IF($A159=0,"&lt;-- defina o número do agrupador",OFFSET(EVENTOS!$D$14,$A159,0)),OFFSET($F$15,$A159,0)))</f>
        <v>PINTURAS E TEXTURAS</v>
      </c>
      <c r="O159" s="212"/>
      <c r="Q159" s="212"/>
      <c r="R159" s="213"/>
      <c r="S159" s="213"/>
      <c r="T159" s="213"/>
      <c r="U159" s="213"/>
      <c r="V159" s="213"/>
      <c r="W159" s="213"/>
      <c r="X159" s="213"/>
      <c r="Y159" s="213"/>
      <c r="Z159" s="214"/>
      <c r="AB159" s="592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3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3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3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3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3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3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3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3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4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5">
        <f ca="1">IF($D159&lt;&gt;"Serviço",0,IF(AND(AUTOEVENTO="Manual",$M159=1),0,IF(OFFSET(CRONOPLE!$F$14,$M159,AM$13)="",10^12,OFFSET(CRONOPLE!$F$14,$M159,AM$13))))</f>
        <v>2</v>
      </c>
      <c r="AN159" s="215">
        <f ca="1">IF($D159&lt;&gt;"Serviço",0,IF(AND(AUTOEVENTO="Manual",$M159=1),0,IF(OFFSET(CRONOPLE!$F$14,$M159,AN$13)="",10^12,OFFSET(CRONOPLE!$F$14,$M159,AN$13))))</f>
        <v>2</v>
      </c>
      <c r="AO159" s="215">
        <f ca="1">IF($D159&lt;&gt;"Serviço",0,IF(AND(AUTOEVENTO="Manual",$M159=1),0,IF(OFFSET(CRONOPLE!$F$14,$M159,AO$13)="",10^12,OFFSET(CRONOPLE!$F$14,$M159,AO$13))))</f>
        <v>3</v>
      </c>
      <c r="AP159" s="215">
        <f ca="1">IF($D159&lt;&gt;"Serviço",0,IF(AND(AUTOEVENTO="Manual",$M159=1),0,IF(OFFSET(CRONOPLE!$F$14,$M159,AP$13)="",10^12,OFFSET(CRONOPLE!$F$14,$M159,AP$13))))</f>
        <v>1000000000000</v>
      </c>
      <c r="AQ159" s="215">
        <f ca="1">IF($D159&lt;&gt;"Serviço",0,IF(AND(AUTOEVENTO="Manual",$M159=1),0,IF(OFFSET(CRONOPLE!$F$14,$M159,AQ$13)="",10^12,OFFSET(CRONOPLE!$F$14,$M159,AQ$13))))</f>
        <v>1000000000000</v>
      </c>
      <c r="AR159" s="215">
        <f ca="1">IF($D159&lt;&gt;"Serviço",0,IF(AND(AUTOEVENTO="Manual",$M159=1),0,IF(OFFSET(CRONOPLE!$F$14,$M159,AR$13)="",10^12,OFFSET(CRONOPLE!$F$14,$M159,AR$13))))</f>
        <v>1000000000000</v>
      </c>
      <c r="AS159" s="215">
        <f ca="1">IF($D159&lt;&gt;"Serviço",0,IF(AND(AUTOEVENTO="Manual",$M159=1),0,IF(OFFSET(CRONOPLE!$F$14,$M159,AS$13)="",10^12,OFFSET(CRONOPLE!$F$14,$M159,AS$13))))</f>
        <v>1000000000000</v>
      </c>
      <c r="AT159" s="215">
        <f ca="1">IF($D159&lt;&gt;"Serviço",0,IF(AND(AUTOEVENTO="Manual",$M159=1),0,IF(OFFSET(CRONOPLE!$F$14,$M159,AT$13)="",10^12,OFFSET(CRONOPLE!$F$14,$M159,AT$13))))</f>
        <v>1000000000000</v>
      </c>
      <c r="AU159" s="215">
        <f ca="1">IF($D159&lt;&gt;"Serviço",0,IF(AND(AUTOEVENTO="Manual",$M159=1),0,IF(OFFSET(CRONOPLE!$F$14,$M159,AU$13)="",10^12,OFFSET(CRONOPLE!$F$14,$M159,AU$13))))</f>
        <v>1000000000000</v>
      </c>
      <c r="AV159" s="215">
        <f ca="1">IF($D159&lt;&gt;"Serviço",0,IF(AND(AUTOEVENTO="Manual",$M159=1),0,IF(OFFSET(CRONOPLE!$F$14,$M159,AV$13)="",10^12,OFFSET(CRONOPLE!$F$14,$M159,AV$13))))</f>
        <v>1000000000000</v>
      </c>
      <c r="AX159" s="216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6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6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6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6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6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6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6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6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6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37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5" t="str">
        <f ca="1">OFFSET(ORÇAMENTO!N$15,ROW(D160)-ROW(D$15),0)</f>
        <v>Serviço</v>
      </c>
      <c r="E160" s="205" t="str">
        <f ca="1">OFFSET(ORÇAMENTO!O$15,ROW(E160)-ROW(E$15),0)</f>
        <v>-</v>
      </c>
      <c r="F160" s="206" t="str">
        <f ca="1">OFFSET(ORÇAMENTO!R$15,ROW(F160)-ROW(F$15),0)</f>
        <v>(abra o arquivo 'Referência 05-2023.xls)</v>
      </c>
      <c r="G160" s="207" t="str">
        <f ca="1">IF($D160&lt;&gt;"Serviço","",OFFSET(ORÇAMENTO!S$15,ROW(G160)-ROW(G$15),0))</f>
        <v>-</v>
      </c>
      <c r="H160" s="151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1"/>
      <c r="K160" s="208"/>
      <c r="L160" s="209" t="s">
        <v>254</v>
      </c>
      <c r="M160" s="210">
        <f ca="1">IF($D160&lt;&gt;"Serviço","",IF(AUTOEVENTO="manual",$A160,IF(ISERROR(MATCH($A160,$A$15:OFFSET($A160,-1,0),0)),MAX($M$15:OFFSET(M160,-1,0))+1,INDEX($M$15:OFFSET(M160,-1,0),MATCH($A160,$A$15:OFFSET($A160,-1,0),0)))))</f>
        <v>5</v>
      </c>
      <c r="N160" s="211" t="str">
        <f ca="1">IF($D160&lt;&gt;"Serviço","",IF(AUTOEVENTO="Manual",IF($A160=0,"&lt;-- defina o número do agrupador",OFFSET(EVENTOS!$D$14,$A160,0)),OFFSET($F$15,$A160,0)))</f>
        <v>PINTURAS E TEXTURAS</v>
      </c>
      <c r="O160" s="212"/>
      <c r="Q160" s="212"/>
      <c r="R160" s="213"/>
      <c r="S160" s="213"/>
      <c r="T160" s="213"/>
      <c r="U160" s="213"/>
      <c r="V160" s="213"/>
      <c r="W160" s="213"/>
      <c r="X160" s="213"/>
      <c r="Y160" s="213"/>
      <c r="Z160" s="214"/>
      <c r="AB160" s="592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3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3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3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3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3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3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3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3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4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5">
        <f ca="1">IF($D160&lt;&gt;"Serviço",0,IF(AND(AUTOEVENTO="Manual",$M160=1),0,IF(OFFSET(CRONOPLE!$F$14,$M160,AM$13)="",10^12,OFFSET(CRONOPLE!$F$14,$M160,AM$13))))</f>
        <v>2</v>
      </c>
      <c r="AN160" s="215">
        <f ca="1">IF($D160&lt;&gt;"Serviço",0,IF(AND(AUTOEVENTO="Manual",$M160=1),0,IF(OFFSET(CRONOPLE!$F$14,$M160,AN$13)="",10^12,OFFSET(CRONOPLE!$F$14,$M160,AN$13))))</f>
        <v>2</v>
      </c>
      <c r="AO160" s="215">
        <f ca="1">IF($D160&lt;&gt;"Serviço",0,IF(AND(AUTOEVENTO="Manual",$M160=1),0,IF(OFFSET(CRONOPLE!$F$14,$M160,AO$13)="",10^12,OFFSET(CRONOPLE!$F$14,$M160,AO$13))))</f>
        <v>3</v>
      </c>
      <c r="AP160" s="215">
        <f ca="1">IF($D160&lt;&gt;"Serviço",0,IF(AND(AUTOEVENTO="Manual",$M160=1),0,IF(OFFSET(CRONOPLE!$F$14,$M160,AP$13)="",10^12,OFFSET(CRONOPLE!$F$14,$M160,AP$13))))</f>
        <v>1000000000000</v>
      </c>
      <c r="AQ160" s="215">
        <f ca="1">IF($D160&lt;&gt;"Serviço",0,IF(AND(AUTOEVENTO="Manual",$M160=1),0,IF(OFFSET(CRONOPLE!$F$14,$M160,AQ$13)="",10^12,OFFSET(CRONOPLE!$F$14,$M160,AQ$13))))</f>
        <v>1000000000000</v>
      </c>
      <c r="AR160" s="215">
        <f ca="1">IF($D160&lt;&gt;"Serviço",0,IF(AND(AUTOEVENTO="Manual",$M160=1),0,IF(OFFSET(CRONOPLE!$F$14,$M160,AR$13)="",10^12,OFFSET(CRONOPLE!$F$14,$M160,AR$13))))</f>
        <v>1000000000000</v>
      </c>
      <c r="AS160" s="215">
        <f ca="1">IF($D160&lt;&gt;"Serviço",0,IF(AND(AUTOEVENTO="Manual",$M160=1),0,IF(OFFSET(CRONOPLE!$F$14,$M160,AS$13)="",10^12,OFFSET(CRONOPLE!$F$14,$M160,AS$13))))</f>
        <v>1000000000000</v>
      </c>
      <c r="AT160" s="215">
        <f ca="1">IF($D160&lt;&gt;"Serviço",0,IF(AND(AUTOEVENTO="Manual",$M160=1),0,IF(OFFSET(CRONOPLE!$F$14,$M160,AT$13)="",10^12,OFFSET(CRONOPLE!$F$14,$M160,AT$13))))</f>
        <v>1000000000000</v>
      </c>
      <c r="AU160" s="215">
        <f ca="1">IF($D160&lt;&gt;"Serviço",0,IF(AND(AUTOEVENTO="Manual",$M160=1),0,IF(OFFSET(CRONOPLE!$F$14,$M160,AU$13)="",10^12,OFFSET(CRONOPLE!$F$14,$M160,AU$13))))</f>
        <v>1000000000000</v>
      </c>
      <c r="AV160" s="215">
        <f ca="1">IF($D160&lt;&gt;"Serviço",0,IF(AND(AUTOEVENTO="Manual",$M160=1),0,IF(OFFSET(CRONOPLE!$F$14,$M160,AV$13)="",10^12,OFFSET(CRONOPLE!$F$14,$M160,AV$13))))</f>
        <v>1000000000000</v>
      </c>
      <c r="AX160" s="216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6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6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6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6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6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6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6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6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6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37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5" t="str">
        <f ca="1">OFFSET(ORÇAMENTO!N$15,ROW(D161)-ROW(D$15),0)</f>
        <v>Serviço</v>
      </c>
      <c r="E161" s="205" t="str">
        <f ca="1">OFFSET(ORÇAMENTO!O$15,ROW(E161)-ROW(E$15),0)</f>
        <v>-</v>
      </c>
      <c r="F161" s="206" t="str">
        <f ca="1">OFFSET(ORÇAMENTO!R$15,ROW(F161)-ROW(F$15),0)</f>
        <v>(abra o arquivo 'Referência 05-2023.xls)</v>
      </c>
      <c r="G161" s="207" t="str">
        <f ca="1">IF($D161&lt;&gt;"Serviço","",OFFSET(ORÇAMENTO!S$15,ROW(G161)-ROW(G$15),0))</f>
        <v>-</v>
      </c>
      <c r="H161" s="151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1"/>
      <c r="K161" s="208"/>
      <c r="L161" s="209" t="s">
        <v>254</v>
      </c>
      <c r="M161" s="210">
        <f ca="1">IF($D161&lt;&gt;"Serviço","",IF(AUTOEVENTO="manual",$A161,IF(ISERROR(MATCH($A161,$A$15:OFFSET($A161,-1,0),0)),MAX($M$15:OFFSET(M161,-1,0))+1,INDEX($M$15:OFFSET(M161,-1,0),MATCH($A161,$A$15:OFFSET($A161,-1,0),0)))))</f>
        <v>5</v>
      </c>
      <c r="N161" s="211" t="str">
        <f ca="1">IF($D161&lt;&gt;"Serviço","",IF(AUTOEVENTO="Manual",IF($A161=0,"&lt;-- defina o número do agrupador",OFFSET(EVENTOS!$D$14,$A161,0)),OFFSET($F$15,$A161,0)))</f>
        <v>PINTURAS E TEXTURAS</v>
      </c>
      <c r="O161" s="212"/>
      <c r="Q161" s="212"/>
      <c r="R161" s="213"/>
      <c r="S161" s="213"/>
      <c r="T161" s="213"/>
      <c r="U161" s="213"/>
      <c r="V161" s="213"/>
      <c r="W161" s="213"/>
      <c r="X161" s="213"/>
      <c r="Y161" s="213"/>
      <c r="Z161" s="214"/>
      <c r="AB161" s="592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3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3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3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3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3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3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3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3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4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5">
        <f ca="1">IF($D161&lt;&gt;"Serviço",0,IF(AND(AUTOEVENTO="Manual",$M161=1),0,IF(OFFSET(CRONOPLE!$F$14,$M161,AM$13)="",10^12,OFFSET(CRONOPLE!$F$14,$M161,AM$13))))</f>
        <v>2</v>
      </c>
      <c r="AN161" s="215">
        <f ca="1">IF($D161&lt;&gt;"Serviço",0,IF(AND(AUTOEVENTO="Manual",$M161=1),0,IF(OFFSET(CRONOPLE!$F$14,$M161,AN$13)="",10^12,OFFSET(CRONOPLE!$F$14,$M161,AN$13))))</f>
        <v>2</v>
      </c>
      <c r="AO161" s="215">
        <f ca="1">IF($D161&lt;&gt;"Serviço",0,IF(AND(AUTOEVENTO="Manual",$M161=1),0,IF(OFFSET(CRONOPLE!$F$14,$M161,AO$13)="",10^12,OFFSET(CRONOPLE!$F$14,$M161,AO$13))))</f>
        <v>3</v>
      </c>
      <c r="AP161" s="215">
        <f ca="1">IF($D161&lt;&gt;"Serviço",0,IF(AND(AUTOEVENTO="Manual",$M161=1),0,IF(OFFSET(CRONOPLE!$F$14,$M161,AP$13)="",10^12,OFFSET(CRONOPLE!$F$14,$M161,AP$13))))</f>
        <v>1000000000000</v>
      </c>
      <c r="AQ161" s="215">
        <f ca="1">IF($D161&lt;&gt;"Serviço",0,IF(AND(AUTOEVENTO="Manual",$M161=1),0,IF(OFFSET(CRONOPLE!$F$14,$M161,AQ$13)="",10^12,OFFSET(CRONOPLE!$F$14,$M161,AQ$13))))</f>
        <v>1000000000000</v>
      </c>
      <c r="AR161" s="215">
        <f ca="1">IF($D161&lt;&gt;"Serviço",0,IF(AND(AUTOEVENTO="Manual",$M161=1),0,IF(OFFSET(CRONOPLE!$F$14,$M161,AR$13)="",10^12,OFFSET(CRONOPLE!$F$14,$M161,AR$13))))</f>
        <v>1000000000000</v>
      </c>
      <c r="AS161" s="215">
        <f ca="1">IF($D161&lt;&gt;"Serviço",0,IF(AND(AUTOEVENTO="Manual",$M161=1),0,IF(OFFSET(CRONOPLE!$F$14,$M161,AS$13)="",10^12,OFFSET(CRONOPLE!$F$14,$M161,AS$13))))</f>
        <v>1000000000000</v>
      </c>
      <c r="AT161" s="215">
        <f ca="1">IF($D161&lt;&gt;"Serviço",0,IF(AND(AUTOEVENTO="Manual",$M161=1),0,IF(OFFSET(CRONOPLE!$F$14,$M161,AT$13)="",10^12,OFFSET(CRONOPLE!$F$14,$M161,AT$13))))</f>
        <v>1000000000000</v>
      </c>
      <c r="AU161" s="215">
        <f ca="1">IF($D161&lt;&gt;"Serviço",0,IF(AND(AUTOEVENTO="Manual",$M161=1),0,IF(OFFSET(CRONOPLE!$F$14,$M161,AU$13)="",10^12,OFFSET(CRONOPLE!$F$14,$M161,AU$13))))</f>
        <v>1000000000000</v>
      </c>
      <c r="AV161" s="215">
        <f ca="1">IF($D161&lt;&gt;"Serviço",0,IF(AND(AUTOEVENTO="Manual",$M161=1),0,IF(OFFSET(CRONOPLE!$F$14,$M161,AV$13)="",10^12,OFFSET(CRONOPLE!$F$14,$M161,AV$13))))</f>
        <v>1000000000000</v>
      </c>
      <c r="AX161" s="216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6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6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6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6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6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6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6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6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6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37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5" t="str">
        <f ca="1">OFFSET(ORÇAMENTO!N$15,ROW(D162)-ROW(D$15),0)</f>
        <v>Serviço</v>
      </c>
      <c r="E162" s="205" t="str">
        <f ca="1">OFFSET(ORÇAMENTO!O$15,ROW(E162)-ROW(E$15),0)</f>
        <v>-</v>
      </c>
      <c r="F162" s="206" t="str">
        <f ca="1">OFFSET(ORÇAMENTO!R$15,ROW(F162)-ROW(F$15),0)</f>
        <v>(abra o arquivo 'Referência 05-2023.xls)</v>
      </c>
      <c r="G162" s="207" t="str">
        <f ca="1">IF($D162&lt;&gt;"Serviço","",OFFSET(ORÇAMENTO!S$15,ROW(G162)-ROW(G$15),0))</f>
        <v>-</v>
      </c>
      <c r="H162" s="151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1"/>
      <c r="K162" s="208"/>
      <c r="L162" s="209" t="s">
        <v>254</v>
      </c>
      <c r="M162" s="210">
        <f ca="1">IF($D162&lt;&gt;"Serviço","",IF(AUTOEVENTO="manual",$A162,IF(ISERROR(MATCH($A162,$A$15:OFFSET($A162,-1,0),0)),MAX($M$15:OFFSET(M162,-1,0))+1,INDEX($M$15:OFFSET(M162,-1,0),MATCH($A162,$A$15:OFFSET($A162,-1,0),0)))))</f>
        <v>5</v>
      </c>
      <c r="N162" s="211" t="str">
        <f ca="1">IF($D162&lt;&gt;"Serviço","",IF(AUTOEVENTO="Manual",IF($A162=0,"&lt;-- defina o número do agrupador",OFFSET(EVENTOS!$D$14,$A162,0)),OFFSET($F$15,$A162,0)))</f>
        <v>PINTURAS E TEXTURAS</v>
      </c>
      <c r="O162" s="212"/>
      <c r="Q162" s="212"/>
      <c r="R162" s="213"/>
      <c r="S162" s="213"/>
      <c r="T162" s="213"/>
      <c r="U162" s="213"/>
      <c r="V162" s="213"/>
      <c r="W162" s="213"/>
      <c r="X162" s="213"/>
      <c r="Y162" s="213"/>
      <c r="Z162" s="214"/>
      <c r="AB162" s="592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3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3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3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3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3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3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3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3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4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5">
        <f ca="1">IF($D162&lt;&gt;"Serviço",0,IF(AND(AUTOEVENTO="Manual",$M162=1),0,IF(OFFSET(CRONOPLE!$F$14,$M162,AM$13)="",10^12,OFFSET(CRONOPLE!$F$14,$M162,AM$13))))</f>
        <v>2</v>
      </c>
      <c r="AN162" s="215">
        <f ca="1">IF($D162&lt;&gt;"Serviço",0,IF(AND(AUTOEVENTO="Manual",$M162=1),0,IF(OFFSET(CRONOPLE!$F$14,$M162,AN$13)="",10^12,OFFSET(CRONOPLE!$F$14,$M162,AN$13))))</f>
        <v>2</v>
      </c>
      <c r="AO162" s="215">
        <f ca="1">IF($D162&lt;&gt;"Serviço",0,IF(AND(AUTOEVENTO="Manual",$M162=1),0,IF(OFFSET(CRONOPLE!$F$14,$M162,AO$13)="",10^12,OFFSET(CRONOPLE!$F$14,$M162,AO$13))))</f>
        <v>3</v>
      </c>
      <c r="AP162" s="215">
        <f ca="1">IF($D162&lt;&gt;"Serviço",0,IF(AND(AUTOEVENTO="Manual",$M162=1),0,IF(OFFSET(CRONOPLE!$F$14,$M162,AP$13)="",10^12,OFFSET(CRONOPLE!$F$14,$M162,AP$13))))</f>
        <v>1000000000000</v>
      </c>
      <c r="AQ162" s="215">
        <f ca="1">IF($D162&lt;&gt;"Serviço",0,IF(AND(AUTOEVENTO="Manual",$M162=1),0,IF(OFFSET(CRONOPLE!$F$14,$M162,AQ$13)="",10^12,OFFSET(CRONOPLE!$F$14,$M162,AQ$13))))</f>
        <v>1000000000000</v>
      </c>
      <c r="AR162" s="215">
        <f ca="1">IF($D162&lt;&gt;"Serviço",0,IF(AND(AUTOEVENTO="Manual",$M162=1),0,IF(OFFSET(CRONOPLE!$F$14,$M162,AR$13)="",10^12,OFFSET(CRONOPLE!$F$14,$M162,AR$13))))</f>
        <v>1000000000000</v>
      </c>
      <c r="AS162" s="215">
        <f ca="1">IF($D162&lt;&gt;"Serviço",0,IF(AND(AUTOEVENTO="Manual",$M162=1),0,IF(OFFSET(CRONOPLE!$F$14,$M162,AS$13)="",10^12,OFFSET(CRONOPLE!$F$14,$M162,AS$13))))</f>
        <v>1000000000000</v>
      </c>
      <c r="AT162" s="215">
        <f ca="1">IF($D162&lt;&gt;"Serviço",0,IF(AND(AUTOEVENTO="Manual",$M162=1),0,IF(OFFSET(CRONOPLE!$F$14,$M162,AT$13)="",10^12,OFFSET(CRONOPLE!$F$14,$M162,AT$13))))</f>
        <v>1000000000000</v>
      </c>
      <c r="AU162" s="215">
        <f ca="1">IF($D162&lt;&gt;"Serviço",0,IF(AND(AUTOEVENTO="Manual",$M162=1),0,IF(OFFSET(CRONOPLE!$F$14,$M162,AU$13)="",10^12,OFFSET(CRONOPLE!$F$14,$M162,AU$13))))</f>
        <v>1000000000000</v>
      </c>
      <c r="AV162" s="215">
        <f ca="1">IF($D162&lt;&gt;"Serviço",0,IF(AND(AUTOEVENTO="Manual",$M162=1),0,IF(OFFSET(CRONOPLE!$F$14,$M162,AV$13)="",10^12,OFFSET(CRONOPLE!$F$14,$M162,AV$13))))</f>
        <v>1000000000000</v>
      </c>
      <c r="AX162" s="216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6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6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6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6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6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6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6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6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6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37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5" t="str">
        <f ca="1">OFFSET(ORÇAMENTO!N$15,ROW(D163)-ROW(D$15),0)</f>
        <v>Serviço</v>
      </c>
      <c r="E163" s="205" t="str">
        <f ca="1">OFFSET(ORÇAMENTO!O$15,ROW(E163)-ROW(E$15),0)</f>
        <v>-</v>
      </c>
      <c r="F163" s="206" t="str">
        <f ca="1">OFFSET(ORÇAMENTO!R$15,ROW(F163)-ROW(F$15),0)</f>
        <v>(abra o arquivo 'Referência 05-2023.xls)</v>
      </c>
      <c r="G163" s="207" t="str">
        <f ca="1">IF($D163&lt;&gt;"Serviço","",OFFSET(ORÇAMENTO!S$15,ROW(G163)-ROW(G$15),0))</f>
        <v>-</v>
      </c>
      <c r="H163" s="151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1"/>
      <c r="K163" s="208"/>
      <c r="L163" s="209" t="s">
        <v>254</v>
      </c>
      <c r="M163" s="210">
        <f ca="1">IF($D163&lt;&gt;"Serviço","",IF(AUTOEVENTO="manual",$A163,IF(ISERROR(MATCH($A163,$A$15:OFFSET($A163,-1,0),0)),MAX($M$15:OFFSET(M163,-1,0))+1,INDEX($M$15:OFFSET(M163,-1,0),MATCH($A163,$A$15:OFFSET($A163,-1,0),0)))))</f>
        <v>5</v>
      </c>
      <c r="N163" s="211" t="str">
        <f ca="1">IF($D163&lt;&gt;"Serviço","",IF(AUTOEVENTO="Manual",IF($A163=0,"&lt;-- defina o número do agrupador",OFFSET(EVENTOS!$D$14,$A163,0)),OFFSET($F$15,$A163,0)))</f>
        <v>PINTURAS E TEXTURAS</v>
      </c>
      <c r="O163" s="212"/>
      <c r="Q163" s="212"/>
      <c r="R163" s="213"/>
      <c r="S163" s="213"/>
      <c r="T163" s="213"/>
      <c r="U163" s="213"/>
      <c r="V163" s="213"/>
      <c r="W163" s="213"/>
      <c r="X163" s="213"/>
      <c r="Y163" s="213"/>
      <c r="Z163" s="214"/>
      <c r="AB163" s="592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3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3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3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3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3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3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3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3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4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5">
        <f ca="1">IF($D163&lt;&gt;"Serviço",0,IF(AND(AUTOEVENTO="Manual",$M163=1),0,IF(OFFSET(CRONOPLE!$F$14,$M163,AM$13)="",10^12,OFFSET(CRONOPLE!$F$14,$M163,AM$13))))</f>
        <v>2</v>
      </c>
      <c r="AN163" s="215">
        <f ca="1">IF($D163&lt;&gt;"Serviço",0,IF(AND(AUTOEVENTO="Manual",$M163=1),0,IF(OFFSET(CRONOPLE!$F$14,$M163,AN$13)="",10^12,OFFSET(CRONOPLE!$F$14,$M163,AN$13))))</f>
        <v>2</v>
      </c>
      <c r="AO163" s="215">
        <f ca="1">IF($D163&lt;&gt;"Serviço",0,IF(AND(AUTOEVENTO="Manual",$M163=1),0,IF(OFFSET(CRONOPLE!$F$14,$M163,AO$13)="",10^12,OFFSET(CRONOPLE!$F$14,$M163,AO$13))))</f>
        <v>3</v>
      </c>
      <c r="AP163" s="215">
        <f ca="1">IF($D163&lt;&gt;"Serviço",0,IF(AND(AUTOEVENTO="Manual",$M163=1),0,IF(OFFSET(CRONOPLE!$F$14,$M163,AP$13)="",10^12,OFFSET(CRONOPLE!$F$14,$M163,AP$13))))</f>
        <v>1000000000000</v>
      </c>
      <c r="AQ163" s="215">
        <f ca="1">IF($D163&lt;&gt;"Serviço",0,IF(AND(AUTOEVENTO="Manual",$M163=1),0,IF(OFFSET(CRONOPLE!$F$14,$M163,AQ$13)="",10^12,OFFSET(CRONOPLE!$F$14,$M163,AQ$13))))</f>
        <v>1000000000000</v>
      </c>
      <c r="AR163" s="215">
        <f ca="1">IF($D163&lt;&gt;"Serviço",0,IF(AND(AUTOEVENTO="Manual",$M163=1),0,IF(OFFSET(CRONOPLE!$F$14,$M163,AR$13)="",10^12,OFFSET(CRONOPLE!$F$14,$M163,AR$13))))</f>
        <v>1000000000000</v>
      </c>
      <c r="AS163" s="215">
        <f ca="1">IF($D163&lt;&gt;"Serviço",0,IF(AND(AUTOEVENTO="Manual",$M163=1),0,IF(OFFSET(CRONOPLE!$F$14,$M163,AS$13)="",10^12,OFFSET(CRONOPLE!$F$14,$M163,AS$13))))</f>
        <v>1000000000000</v>
      </c>
      <c r="AT163" s="215">
        <f ca="1">IF($D163&lt;&gt;"Serviço",0,IF(AND(AUTOEVENTO="Manual",$M163=1),0,IF(OFFSET(CRONOPLE!$F$14,$M163,AT$13)="",10^12,OFFSET(CRONOPLE!$F$14,$M163,AT$13))))</f>
        <v>1000000000000</v>
      </c>
      <c r="AU163" s="215">
        <f ca="1">IF($D163&lt;&gt;"Serviço",0,IF(AND(AUTOEVENTO="Manual",$M163=1),0,IF(OFFSET(CRONOPLE!$F$14,$M163,AU$13)="",10^12,OFFSET(CRONOPLE!$F$14,$M163,AU$13))))</f>
        <v>1000000000000</v>
      </c>
      <c r="AV163" s="215">
        <f ca="1">IF($D163&lt;&gt;"Serviço",0,IF(AND(AUTOEVENTO="Manual",$M163=1),0,IF(OFFSET(CRONOPLE!$F$14,$M163,AV$13)="",10^12,OFFSET(CRONOPLE!$F$14,$M163,AV$13))))</f>
        <v>1000000000000</v>
      </c>
      <c r="AX163" s="216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6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6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6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6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6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6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6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6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6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37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5" t="str">
        <f ca="1">OFFSET(ORÇAMENTO!N$15,ROW(D164)-ROW(D$15),0)</f>
        <v>Serviço</v>
      </c>
      <c r="E164" s="205" t="str">
        <f ca="1">OFFSET(ORÇAMENTO!O$15,ROW(E164)-ROW(E$15),0)</f>
        <v>-</v>
      </c>
      <c r="F164" s="206" t="str">
        <f ca="1">OFFSET(ORÇAMENTO!R$15,ROW(F164)-ROW(F$15),0)</f>
        <v>(abra o arquivo 'Referência 05-2023.xls)</v>
      </c>
      <c r="G164" s="207" t="str">
        <f ca="1">IF($D164&lt;&gt;"Serviço","",OFFSET(ORÇAMENTO!S$15,ROW(G164)-ROW(G$15),0))</f>
        <v>-</v>
      </c>
      <c r="H164" s="151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1"/>
      <c r="K164" s="208"/>
      <c r="L164" s="209" t="s">
        <v>254</v>
      </c>
      <c r="M164" s="210">
        <f ca="1">IF($D164&lt;&gt;"Serviço","",IF(AUTOEVENTO="manual",$A164,IF(ISERROR(MATCH($A164,$A$15:OFFSET($A164,-1,0),0)),MAX($M$15:OFFSET(M164,-1,0))+1,INDEX($M$15:OFFSET(M164,-1,0),MATCH($A164,$A$15:OFFSET($A164,-1,0),0)))))</f>
        <v>5</v>
      </c>
      <c r="N164" s="211" t="str">
        <f ca="1">IF($D164&lt;&gt;"Serviço","",IF(AUTOEVENTO="Manual",IF($A164=0,"&lt;-- defina o número do agrupador",OFFSET(EVENTOS!$D$14,$A164,0)),OFFSET($F$15,$A164,0)))</f>
        <v>PINTURAS E TEXTURAS</v>
      </c>
      <c r="O164" s="212"/>
      <c r="Q164" s="212"/>
      <c r="R164" s="213"/>
      <c r="S164" s="213"/>
      <c r="T164" s="213"/>
      <c r="U164" s="213"/>
      <c r="V164" s="213"/>
      <c r="W164" s="213"/>
      <c r="X164" s="213"/>
      <c r="Y164" s="213"/>
      <c r="Z164" s="214"/>
      <c r="AB164" s="592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3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3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3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3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3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3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3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3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4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5">
        <f ca="1">IF($D164&lt;&gt;"Serviço",0,IF(AND(AUTOEVENTO="Manual",$M164=1),0,IF(OFFSET(CRONOPLE!$F$14,$M164,AM$13)="",10^12,OFFSET(CRONOPLE!$F$14,$M164,AM$13))))</f>
        <v>2</v>
      </c>
      <c r="AN164" s="215">
        <f ca="1">IF($D164&lt;&gt;"Serviço",0,IF(AND(AUTOEVENTO="Manual",$M164=1),0,IF(OFFSET(CRONOPLE!$F$14,$M164,AN$13)="",10^12,OFFSET(CRONOPLE!$F$14,$M164,AN$13))))</f>
        <v>2</v>
      </c>
      <c r="AO164" s="215">
        <f ca="1">IF($D164&lt;&gt;"Serviço",0,IF(AND(AUTOEVENTO="Manual",$M164=1),0,IF(OFFSET(CRONOPLE!$F$14,$M164,AO$13)="",10^12,OFFSET(CRONOPLE!$F$14,$M164,AO$13))))</f>
        <v>3</v>
      </c>
      <c r="AP164" s="215">
        <f ca="1">IF($D164&lt;&gt;"Serviço",0,IF(AND(AUTOEVENTO="Manual",$M164=1),0,IF(OFFSET(CRONOPLE!$F$14,$M164,AP$13)="",10^12,OFFSET(CRONOPLE!$F$14,$M164,AP$13))))</f>
        <v>1000000000000</v>
      </c>
      <c r="AQ164" s="215">
        <f ca="1">IF($D164&lt;&gt;"Serviço",0,IF(AND(AUTOEVENTO="Manual",$M164=1),0,IF(OFFSET(CRONOPLE!$F$14,$M164,AQ$13)="",10^12,OFFSET(CRONOPLE!$F$14,$M164,AQ$13))))</f>
        <v>1000000000000</v>
      </c>
      <c r="AR164" s="215">
        <f ca="1">IF($D164&lt;&gt;"Serviço",0,IF(AND(AUTOEVENTO="Manual",$M164=1),0,IF(OFFSET(CRONOPLE!$F$14,$M164,AR$13)="",10^12,OFFSET(CRONOPLE!$F$14,$M164,AR$13))))</f>
        <v>1000000000000</v>
      </c>
      <c r="AS164" s="215">
        <f ca="1">IF($D164&lt;&gt;"Serviço",0,IF(AND(AUTOEVENTO="Manual",$M164=1),0,IF(OFFSET(CRONOPLE!$F$14,$M164,AS$13)="",10^12,OFFSET(CRONOPLE!$F$14,$M164,AS$13))))</f>
        <v>1000000000000</v>
      </c>
      <c r="AT164" s="215">
        <f ca="1">IF($D164&lt;&gt;"Serviço",0,IF(AND(AUTOEVENTO="Manual",$M164=1),0,IF(OFFSET(CRONOPLE!$F$14,$M164,AT$13)="",10^12,OFFSET(CRONOPLE!$F$14,$M164,AT$13))))</f>
        <v>1000000000000</v>
      </c>
      <c r="AU164" s="215">
        <f ca="1">IF($D164&lt;&gt;"Serviço",0,IF(AND(AUTOEVENTO="Manual",$M164=1),0,IF(OFFSET(CRONOPLE!$F$14,$M164,AU$13)="",10^12,OFFSET(CRONOPLE!$F$14,$M164,AU$13))))</f>
        <v>1000000000000</v>
      </c>
      <c r="AV164" s="215">
        <f ca="1">IF($D164&lt;&gt;"Serviço",0,IF(AND(AUTOEVENTO="Manual",$M164=1),0,IF(OFFSET(CRONOPLE!$F$14,$M164,AV$13)="",10^12,OFFSET(CRONOPLE!$F$14,$M164,AV$13))))</f>
        <v>1000000000000</v>
      </c>
      <c r="AX164" s="216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6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6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6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6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6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6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6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6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6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37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5" t="str">
        <f ca="1">OFFSET(ORÇAMENTO!N$15,ROW(D165)-ROW(D$15),0)</f>
        <v>Serviço</v>
      </c>
      <c r="E165" s="205" t="str">
        <f ca="1">OFFSET(ORÇAMENTO!O$15,ROW(E165)-ROW(E$15),0)</f>
        <v>-</v>
      </c>
      <c r="F165" s="206" t="str">
        <f ca="1">OFFSET(ORÇAMENTO!R$15,ROW(F165)-ROW(F$15),0)</f>
        <v>(abra o arquivo 'Referência 05-2023.xls)</v>
      </c>
      <c r="G165" s="207" t="str">
        <f ca="1">IF($D165&lt;&gt;"Serviço","",OFFSET(ORÇAMENTO!S$15,ROW(G165)-ROW(G$15),0))</f>
        <v>-</v>
      </c>
      <c r="H165" s="151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1"/>
      <c r="K165" s="208"/>
      <c r="L165" s="209" t="s">
        <v>254</v>
      </c>
      <c r="M165" s="210">
        <f ca="1">IF($D165&lt;&gt;"Serviço","",IF(AUTOEVENTO="manual",$A165,IF(ISERROR(MATCH($A165,$A$15:OFFSET($A165,-1,0),0)),MAX($M$15:OFFSET(M165,-1,0))+1,INDEX($M$15:OFFSET(M165,-1,0),MATCH($A165,$A$15:OFFSET($A165,-1,0),0)))))</f>
        <v>5</v>
      </c>
      <c r="N165" s="211" t="str">
        <f ca="1">IF($D165&lt;&gt;"Serviço","",IF(AUTOEVENTO="Manual",IF($A165=0,"&lt;-- defina o número do agrupador",OFFSET(EVENTOS!$D$14,$A165,0)),OFFSET($F$15,$A165,0)))</f>
        <v>PINTURAS E TEXTURAS</v>
      </c>
      <c r="O165" s="212"/>
      <c r="Q165" s="212"/>
      <c r="R165" s="213"/>
      <c r="S165" s="213"/>
      <c r="T165" s="213"/>
      <c r="U165" s="213"/>
      <c r="V165" s="213"/>
      <c r="W165" s="213"/>
      <c r="X165" s="213"/>
      <c r="Y165" s="213"/>
      <c r="Z165" s="214"/>
      <c r="AB165" s="592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3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3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3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3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3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3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3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3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4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5">
        <f ca="1">IF($D165&lt;&gt;"Serviço",0,IF(AND(AUTOEVENTO="Manual",$M165=1),0,IF(OFFSET(CRONOPLE!$F$14,$M165,AM$13)="",10^12,OFFSET(CRONOPLE!$F$14,$M165,AM$13))))</f>
        <v>2</v>
      </c>
      <c r="AN165" s="215">
        <f ca="1">IF($D165&lt;&gt;"Serviço",0,IF(AND(AUTOEVENTO="Manual",$M165=1),0,IF(OFFSET(CRONOPLE!$F$14,$M165,AN$13)="",10^12,OFFSET(CRONOPLE!$F$14,$M165,AN$13))))</f>
        <v>2</v>
      </c>
      <c r="AO165" s="215">
        <f ca="1">IF($D165&lt;&gt;"Serviço",0,IF(AND(AUTOEVENTO="Manual",$M165=1),0,IF(OFFSET(CRONOPLE!$F$14,$M165,AO$13)="",10^12,OFFSET(CRONOPLE!$F$14,$M165,AO$13))))</f>
        <v>3</v>
      </c>
      <c r="AP165" s="215">
        <f ca="1">IF($D165&lt;&gt;"Serviço",0,IF(AND(AUTOEVENTO="Manual",$M165=1),0,IF(OFFSET(CRONOPLE!$F$14,$M165,AP$13)="",10^12,OFFSET(CRONOPLE!$F$14,$M165,AP$13))))</f>
        <v>1000000000000</v>
      </c>
      <c r="AQ165" s="215">
        <f ca="1">IF($D165&lt;&gt;"Serviço",0,IF(AND(AUTOEVENTO="Manual",$M165=1),0,IF(OFFSET(CRONOPLE!$F$14,$M165,AQ$13)="",10^12,OFFSET(CRONOPLE!$F$14,$M165,AQ$13))))</f>
        <v>1000000000000</v>
      </c>
      <c r="AR165" s="215">
        <f ca="1">IF($D165&lt;&gt;"Serviço",0,IF(AND(AUTOEVENTO="Manual",$M165=1),0,IF(OFFSET(CRONOPLE!$F$14,$M165,AR$13)="",10^12,OFFSET(CRONOPLE!$F$14,$M165,AR$13))))</f>
        <v>1000000000000</v>
      </c>
      <c r="AS165" s="215">
        <f ca="1">IF($D165&lt;&gt;"Serviço",0,IF(AND(AUTOEVENTO="Manual",$M165=1),0,IF(OFFSET(CRONOPLE!$F$14,$M165,AS$13)="",10^12,OFFSET(CRONOPLE!$F$14,$M165,AS$13))))</f>
        <v>1000000000000</v>
      </c>
      <c r="AT165" s="215">
        <f ca="1">IF($D165&lt;&gt;"Serviço",0,IF(AND(AUTOEVENTO="Manual",$M165=1),0,IF(OFFSET(CRONOPLE!$F$14,$M165,AT$13)="",10^12,OFFSET(CRONOPLE!$F$14,$M165,AT$13))))</f>
        <v>1000000000000</v>
      </c>
      <c r="AU165" s="215">
        <f ca="1">IF($D165&lt;&gt;"Serviço",0,IF(AND(AUTOEVENTO="Manual",$M165=1),0,IF(OFFSET(CRONOPLE!$F$14,$M165,AU$13)="",10^12,OFFSET(CRONOPLE!$F$14,$M165,AU$13))))</f>
        <v>1000000000000</v>
      </c>
      <c r="AV165" s="215">
        <f ca="1">IF($D165&lt;&gt;"Serviço",0,IF(AND(AUTOEVENTO="Manual",$M165=1),0,IF(OFFSET(CRONOPLE!$F$14,$M165,AV$13)="",10^12,OFFSET(CRONOPLE!$F$14,$M165,AV$13))))</f>
        <v>1000000000000</v>
      </c>
      <c r="AX165" s="216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6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6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6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6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6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6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6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6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6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37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5" t="str">
        <f ca="1">OFFSET(ORÇAMENTO!N$15,ROW(D166)-ROW(D$15),0)</f>
        <v>Serviço</v>
      </c>
      <c r="E166" s="205" t="str">
        <f ca="1">OFFSET(ORÇAMENTO!O$15,ROW(E166)-ROW(E$15),0)</f>
        <v>-</v>
      </c>
      <c r="F166" s="206" t="str">
        <f ca="1">OFFSET(ORÇAMENTO!R$15,ROW(F166)-ROW(F$15),0)</f>
        <v>(abra o arquivo 'Referência 05-2023.xls)</v>
      </c>
      <c r="G166" s="207" t="str">
        <f ca="1">IF($D166&lt;&gt;"Serviço","",OFFSET(ORÇAMENTO!S$15,ROW(G166)-ROW(G$15),0))</f>
        <v>-</v>
      </c>
      <c r="H166" s="151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1"/>
      <c r="K166" s="208"/>
      <c r="L166" s="209" t="s">
        <v>254</v>
      </c>
      <c r="M166" s="210">
        <f ca="1">IF($D166&lt;&gt;"Serviço","",IF(AUTOEVENTO="manual",$A166,IF(ISERROR(MATCH($A166,$A$15:OFFSET($A166,-1,0),0)),MAX($M$15:OFFSET(M166,-1,0))+1,INDEX($M$15:OFFSET(M166,-1,0),MATCH($A166,$A$15:OFFSET($A166,-1,0),0)))))</f>
        <v>5</v>
      </c>
      <c r="N166" s="211" t="str">
        <f ca="1">IF($D166&lt;&gt;"Serviço","",IF(AUTOEVENTO="Manual",IF($A166=0,"&lt;-- defina o número do agrupador",OFFSET(EVENTOS!$D$14,$A166,0)),OFFSET($F$15,$A166,0)))</f>
        <v>PINTURAS E TEXTURAS</v>
      </c>
      <c r="O166" s="212"/>
      <c r="Q166" s="212"/>
      <c r="R166" s="213"/>
      <c r="S166" s="213"/>
      <c r="T166" s="213"/>
      <c r="U166" s="213"/>
      <c r="V166" s="213"/>
      <c r="W166" s="213"/>
      <c r="X166" s="213"/>
      <c r="Y166" s="213"/>
      <c r="Z166" s="214"/>
      <c r="AB166" s="592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3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3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3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3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3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3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3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3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4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5">
        <f ca="1">IF($D166&lt;&gt;"Serviço",0,IF(AND(AUTOEVENTO="Manual",$M166=1),0,IF(OFFSET(CRONOPLE!$F$14,$M166,AM$13)="",10^12,OFFSET(CRONOPLE!$F$14,$M166,AM$13))))</f>
        <v>2</v>
      </c>
      <c r="AN166" s="215">
        <f ca="1">IF($D166&lt;&gt;"Serviço",0,IF(AND(AUTOEVENTO="Manual",$M166=1),0,IF(OFFSET(CRONOPLE!$F$14,$M166,AN$13)="",10^12,OFFSET(CRONOPLE!$F$14,$M166,AN$13))))</f>
        <v>2</v>
      </c>
      <c r="AO166" s="215">
        <f ca="1">IF($D166&lt;&gt;"Serviço",0,IF(AND(AUTOEVENTO="Manual",$M166=1),0,IF(OFFSET(CRONOPLE!$F$14,$M166,AO$13)="",10^12,OFFSET(CRONOPLE!$F$14,$M166,AO$13))))</f>
        <v>3</v>
      </c>
      <c r="AP166" s="215">
        <f ca="1">IF($D166&lt;&gt;"Serviço",0,IF(AND(AUTOEVENTO="Manual",$M166=1),0,IF(OFFSET(CRONOPLE!$F$14,$M166,AP$13)="",10^12,OFFSET(CRONOPLE!$F$14,$M166,AP$13))))</f>
        <v>1000000000000</v>
      </c>
      <c r="AQ166" s="215">
        <f ca="1">IF($D166&lt;&gt;"Serviço",0,IF(AND(AUTOEVENTO="Manual",$M166=1),0,IF(OFFSET(CRONOPLE!$F$14,$M166,AQ$13)="",10^12,OFFSET(CRONOPLE!$F$14,$M166,AQ$13))))</f>
        <v>1000000000000</v>
      </c>
      <c r="AR166" s="215">
        <f ca="1">IF($D166&lt;&gt;"Serviço",0,IF(AND(AUTOEVENTO="Manual",$M166=1),0,IF(OFFSET(CRONOPLE!$F$14,$M166,AR$13)="",10^12,OFFSET(CRONOPLE!$F$14,$M166,AR$13))))</f>
        <v>1000000000000</v>
      </c>
      <c r="AS166" s="215">
        <f ca="1">IF($D166&lt;&gt;"Serviço",0,IF(AND(AUTOEVENTO="Manual",$M166=1),0,IF(OFFSET(CRONOPLE!$F$14,$M166,AS$13)="",10^12,OFFSET(CRONOPLE!$F$14,$M166,AS$13))))</f>
        <v>1000000000000</v>
      </c>
      <c r="AT166" s="215">
        <f ca="1">IF($D166&lt;&gt;"Serviço",0,IF(AND(AUTOEVENTO="Manual",$M166=1),0,IF(OFFSET(CRONOPLE!$F$14,$M166,AT$13)="",10^12,OFFSET(CRONOPLE!$F$14,$M166,AT$13))))</f>
        <v>1000000000000</v>
      </c>
      <c r="AU166" s="215">
        <f ca="1">IF($D166&lt;&gt;"Serviço",0,IF(AND(AUTOEVENTO="Manual",$M166=1),0,IF(OFFSET(CRONOPLE!$F$14,$M166,AU$13)="",10^12,OFFSET(CRONOPLE!$F$14,$M166,AU$13))))</f>
        <v>1000000000000</v>
      </c>
      <c r="AV166" s="215">
        <f ca="1">IF($D166&lt;&gt;"Serviço",0,IF(AND(AUTOEVENTO="Manual",$M166=1),0,IF(OFFSET(CRONOPLE!$F$14,$M166,AV$13)="",10^12,OFFSET(CRONOPLE!$F$14,$M166,AV$13))))</f>
        <v>1000000000000</v>
      </c>
      <c r="AX166" s="216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6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6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6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6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6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6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6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6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6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37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5" t="str">
        <f ca="1">OFFSET(ORÇAMENTO!N$15,ROW(D167)-ROW(D$15),0)</f>
        <v>Serviço</v>
      </c>
      <c r="E167" s="205" t="str">
        <f ca="1">OFFSET(ORÇAMENTO!O$15,ROW(E167)-ROW(E$15),0)</f>
        <v>-</v>
      </c>
      <c r="F167" s="206" t="str">
        <f ca="1">OFFSET(ORÇAMENTO!R$15,ROW(F167)-ROW(F$15),0)</f>
        <v>(abra o arquivo 'Referência 05-2023.xls)</v>
      </c>
      <c r="G167" s="207" t="str">
        <f ca="1">IF($D167&lt;&gt;"Serviço","",OFFSET(ORÇAMENTO!S$15,ROW(G167)-ROW(G$15),0))</f>
        <v>-</v>
      </c>
      <c r="H167" s="151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1"/>
      <c r="K167" s="208"/>
      <c r="L167" s="209" t="s">
        <v>254</v>
      </c>
      <c r="M167" s="210">
        <f ca="1">IF($D167&lt;&gt;"Serviço","",IF(AUTOEVENTO="manual",$A167,IF(ISERROR(MATCH($A167,$A$15:OFFSET($A167,-1,0),0)),MAX($M$15:OFFSET(M167,-1,0))+1,INDEX($M$15:OFFSET(M167,-1,0),MATCH($A167,$A$15:OFFSET($A167,-1,0),0)))))</f>
        <v>5</v>
      </c>
      <c r="N167" s="211" t="str">
        <f ca="1">IF($D167&lt;&gt;"Serviço","",IF(AUTOEVENTO="Manual",IF($A167=0,"&lt;-- defina o número do agrupador",OFFSET(EVENTOS!$D$14,$A167,0)),OFFSET($F$15,$A167,0)))</f>
        <v>PINTURAS E TEXTURAS</v>
      </c>
      <c r="O167" s="212"/>
      <c r="Q167" s="212"/>
      <c r="R167" s="213"/>
      <c r="S167" s="213"/>
      <c r="T167" s="213"/>
      <c r="U167" s="213"/>
      <c r="V167" s="213"/>
      <c r="W167" s="213"/>
      <c r="X167" s="213"/>
      <c r="Y167" s="213"/>
      <c r="Z167" s="214"/>
      <c r="AB167" s="592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3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3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3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3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3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3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3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3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4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5">
        <f ca="1">IF($D167&lt;&gt;"Serviço",0,IF(AND(AUTOEVENTO="Manual",$M167=1),0,IF(OFFSET(CRONOPLE!$F$14,$M167,AM$13)="",10^12,OFFSET(CRONOPLE!$F$14,$M167,AM$13))))</f>
        <v>2</v>
      </c>
      <c r="AN167" s="215">
        <f ca="1">IF($D167&lt;&gt;"Serviço",0,IF(AND(AUTOEVENTO="Manual",$M167=1),0,IF(OFFSET(CRONOPLE!$F$14,$M167,AN$13)="",10^12,OFFSET(CRONOPLE!$F$14,$M167,AN$13))))</f>
        <v>2</v>
      </c>
      <c r="AO167" s="215">
        <f ca="1">IF($D167&lt;&gt;"Serviço",0,IF(AND(AUTOEVENTO="Manual",$M167=1),0,IF(OFFSET(CRONOPLE!$F$14,$M167,AO$13)="",10^12,OFFSET(CRONOPLE!$F$14,$M167,AO$13))))</f>
        <v>3</v>
      </c>
      <c r="AP167" s="215">
        <f ca="1">IF($D167&lt;&gt;"Serviço",0,IF(AND(AUTOEVENTO="Manual",$M167=1),0,IF(OFFSET(CRONOPLE!$F$14,$M167,AP$13)="",10^12,OFFSET(CRONOPLE!$F$14,$M167,AP$13))))</f>
        <v>1000000000000</v>
      </c>
      <c r="AQ167" s="215">
        <f ca="1">IF($D167&lt;&gt;"Serviço",0,IF(AND(AUTOEVENTO="Manual",$M167=1),0,IF(OFFSET(CRONOPLE!$F$14,$M167,AQ$13)="",10^12,OFFSET(CRONOPLE!$F$14,$M167,AQ$13))))</f>
        <v>1000000000000</v>
      </c>
      <c r="AR167" s="215">
        <f ca="1">IF($D167&lt;&gt;"Serviço",0,IF(AND(AUTOEVENTO="Manual",$M167=1),0,IF(OFFSET(CRONOPLE!$F$14,$M167,AR$13)="",10^12,OFFSET(CRONOPLE!$F$14,$M167,AR$13))))</f>
        <v>1000000000000</v>
      </c>
      <c r="AS167" s="215">
        <f ca="1">IF($D167&lt;&gt;"Serviço",0,IF(AND(AUTOEVENTO="Manual",$M167=1),0,IF(OFFSET(CRONOPLE!$F$14,$M167,AS$13)="",10^12,OFFSET(CRONOPLE!$F$14,$M167,AS$13))))</f>
        <v>1000000000000</v>
      </c>
      <c r="AT167" s="215">
        <f ca="1">IF($D167&lt;&gt;"Serviço",0,IF(AND(AUTOEVENTO="Manual",$M167=1),0,IF(OFFSET(CRONOPLE!$F$14,$M167,AT$13)="",10^12,OFFSET(CRONOPLE!$F$14,$M167,AT$13))))</f>
        <v>1000000000000</v>
      </c>
      <c r="AU167" s="215">
        <f ca="1">IF($D167&lt;&gt;"Serviço",0,IF(AND(AUTOEVENTO="Manual",$M167=1),0,IF(OFFSET(CRONOPLE!$F$14,$M167,AU$13)="",10^12,OFFSET(CRONOPLE!$F$14,$M167,AU$13))))</f>
        <v>1000000000000</v>
      </c>
      <c r="AV167" s="215">
        <f ca="1">IF($D167&lt;&gt;"Serviço",0,IF(AND(AUTOEVENTO="Manual",$M167=1),0,IF(OFFSET(CRONOPLE!$F$14,$M167,AV$13)="",10^12,OFFSET(CRONOPLE!$F$14,$M167,AV$13))))</f>
        <v>1000000000000</v>
      </c>
      <c r="AX167" s="216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6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6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6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6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6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6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6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6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6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37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5" t="str">
        <f ca="1">OFFSET(ORÇAMENTO!N$15,ROW(D168)-ROW(D$15),0)</f>
        <v>Serviço</v>
      </c>
      <c r="E168" s="205" t="str">
        <f ca="1">OFFSET(ORÇAMENTO!O$15,ROW(E168)-ROW(E$15),0)</f>
        <v>-</v>
      </c>
      <c r="F168" s="206" t="str">
        <f ca="1">OFFSET(ORÇAMENTO!R$15,ROW(F168)-ROW(F$15),0)</f>
        <v>(abra o arquivo 'Referência 05-2023.xls)</v>
      </c>
      <c r="G168" s="207" t="str">
        <f ca="1">IF($D168&lt;&gt;"Serviço","",OFFSET(ORÇAMENTO!S$15,ROW(G168)-ROW(G$15),0))</f>
        <v>-</v>
      </c>
      <c r="H168" s="151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1"/>
      <c r="K168" s="208"/>
      <c r="L168" s="209" t="s">
        <v>254</v>
      </c>
      <c r="M168" s="210">
        <f ca="1">IF($D168&lt;&gt;"Serviço","",IF(AUTOEVENTO="manual",$A168,IF(ISERROR(MATCH($A168,$A$15:OFFSET($A168,-1,0),0)),MAX($M$15:OFFSET(M168,-1,0))+1,INDEX($M$15:OFFSET(M168,-1,0),MATCH($A168,$A$15:OFFSET($A168,-1,0),0)))))</f>
        <v>5</v>
      </c>
      <c r="N168" s="211" t="str">
        <f ca="1">IF($D168&lt;&gt;"Serviço","",IF(AUTOEVENTO="Manual",IF($A168=0,"&lt;-- defina o número do agrupador",OFFSET(EVENTOS!$D$14,$A168,0)),OFFSET($F$15,$A168,0)))</f>
        <v>PINTURAS E TEXTURAS</v>
      </c>
      <c r="O168" s="212"/>
      <c r="Q168" s="212"/>
      <c r="R168" s="213"/>
      <c r="S168" s="213"/>
      <c r="T168" s="213"/>
      <c r="U168" s="213"/>
      <c r="V168" s="213"/>
      <c r="W168" s="213"/>
      <c r="X168" s="213"/>
      <c r="Y168" s="213"/>
      <c r="Z168" s="214"/>
      <c r="AB168" s="592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3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3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3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3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3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3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3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3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4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5">
        <f ca="1">IF($D168&lt;&gt;"Serviço",0,IF(AND(AUTOEVENTO="Manual",$M168=1),0,IF(OFFSET(CRONOPLE!$F$14,$M168,AM$13)="",10^12,OFFSET(CRONOPLE!$F$14,$M168,AM$13))))</f>
        <v>2</v>
      </c>
      <c r="AN168" s="215">
        <f ca="1">IF($D168&lt;&gt;"Serviço",0,IF(AND(AUTOEVENTO="Manual",$M168=1),0,IF(OFFSET(CRONOPLE!$F$14,$M168,AN$13)="",10^12,OFFSET(CRONOPLE!$F$14,$M168,AN$13))))</f>
        <v>2</v>
      </c>
      <c r="AO168" s="215">
        <f ca="1">IF($D168&lt;&gt;"Serviço",0,IF(AND(AUTOEVENTO="Manual",$M168=1),0,IF(OFFSET(CRONOPLE!$F$14,$M168,AO$13)="",10^12,OFFSET(CRONOPLE!$F$14,$M168,AO$13))))</f>
        <v>3</v>
      </c>
      <c r="AP168" s="215">
        <f ca="1">IF($D168&lt;&gt;"Serviço",0,IF(AND(AUTOEVENTO="Manual",$M168=1),0,IF(OFFSET(CRONOPLE!$F$14,$M168,AP$13)="",10^12,OFFSET(CRONOPLE!$F$14,$M168,AP$13))))</f>
        <v>1000000000000</v>
      </c>
      <c r="AQ168" s="215">
        <f ca="1">IF($D168&lt;&gt;"Serviço",0,IF(AND(AUTOEVENTO="Manual",$M168=1),0,IF(OFFSET(CRONOPLE!$F$14,$M168,AQ$13)="",10^12,OFFSET(CRONOPLE!$F$14,$M168,AQ$13))))</f>
        <v>1000000000000</v>
      </c>
      <c r="AR168" s="215">
        <f ca="1">IF($D168&lt;&gt;"Serviço",0,IF(AND(AUTOEVENTO="Manual",$M168=1),0,IF(OFFSET(CRONOPLE!$F$14,$M168,AR$13)="",10^12,OFFSET(CRONOPLE!$F$14,$M168,AR$13))))</f>
        <v>1000000000000</v>
      </c>
      <c r="AS168" s="215">
        <f ca="1">IF($D168&lt;&gt;"Serviço",0,IF(AND(AUTOEVENTO="Manual",$M168=1),0,IF(OFFSET(CRONOPLE!$F$14,$M168,AS$13)="",10^12,OFFSET(CRONOPLE!$F$14,$M168,AS$13))))</f>
        <v>1000000000000</v>
      </c>
      <c r="AT168" s="215">
        <f ca="1">IF($D168&lt;&gt;"Serviço",0,IF(AND(AUTOEVENTO="Manual",$M168=1),0,IF(OFFSET(CRONOPLE!$F$14,$M168,AT$13)="",10^12,OFFSET(CRONOPLE!$F$14,$M168,AT$13))))</f>
        <v>1000000000000</v>
      </c>
      <c r="AU168" s="215">
        <f ca="1">IF($D168&lt;&gt;"Serviço",0,IF(AND(AUTOEVENTO="Manual",$M168=1),0,IF(OFFSET(CRONOPLE!$F$14,$M168,AU$13)="",10^12,OFFSET(CRONOPLE!$F$14,$M168,AU$13))))</f>
        <v>1000000000000</v>
      </c>
      <c r="AV168" s="215">
        <f ca="1">IF($D168&lt;&gt;"Serviço",0,IF(AND(AUTOEVENTO="Manual",$M168=1),0,IF(OFFSET(CRONOPLE!$F$14,$M168,AV$13)="",10^12,OFFSET(CRONOPLE!$F$14,$M168,AV$13))))</f>
        <v>1000000000000</v>
      </c>
      <c r="AX168" s="216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6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6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6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6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6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6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6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6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6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37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5" t="str">
        <f ca="1">OFFSET(ORÇAMENTO!N$15,ROW(D169)-ROW(D$15),0)</f>
        <v>Serviço</v>
      </c>
      <c r="E169" s="205" t="str">
        <f ca="1">OFFSET(ORÇAMENTO!O$15,ROW(E169)-ROW(E$15),0)</f>
        <v>-</v>
      </c>
      <c r="F169" s="206" t="str">
        <f ca="1">OFFSET(ORÇAMENTO!R$15,ROW(F169)-ROW(F$15),0)</f>
        <v>(abra o arquivo 'Referência 05-2023.xls)</v>
      </c>
      <c r="G169" s="207" t="str">
        <f ca="1">IF($D169&lt;&gt;"Serviço","",OFFSET(ORÇAMENTO!S$15,ROW(G169)-ROW(G$15),0))</f>
        <v>-</v>
      </c>
      <c r="H169" s="151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1"/>
      <c r="K169" s="208"/>
      <c r="L169" s="209" t="s">
        <v>254</v>
      </c>
      <c r="M169" s="210">
        <f ca="1">IF($D169&lt;&gt;"Serviço","",IF(AUTOEVENTO="manual",$A169,IF(ISERROR(MATCH($A169,$A$15:OFFSET($A169,-1,0),0)),MAX($M$15:OFFSET(M169,-1,0))+1,INDEX($M$15:OFFSET(M169,-1,0),MATCH($A169,$A$15:OFFSET($A169,-1,0),0)))))</f>
        <v>5</v>
      </c>
      <c r="N169" s="211" t="str">
        <f ca="1">IF($D169&lt;&gt;"Serviço","",IF(AUTOEVENTO="Manual",IF($A169=0,"&lt;-- defina o número do agrupador",OFFSET(EVENTOS!$D$14,$A169,0)),OFFSET($F$15,$A169,0)))</f>
        <v>PINTURAS E TEXTURAS</v>
      </c>
      <c r="O169" s="212"/>
      <c r="Q169" s="212"/>
      <c r="R169" s="213"/>
      <c r="S169" s="213"/>
      <c r="T169" s="213"/>
      <c r="U169" s="213"/>
      <c r="V169" s="213"/>
      <c r="W169" s="213"/>
      <c r="X169" s="213"/>
      <c r="Y169" s="213"/>
      <c r="Z169" s="214"/>
      <c r="AB169" s="592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3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3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3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3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3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3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3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3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4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5">
        <f ca="1">IF($D169&lt;&gt;"Serviço",0,IF(AND(AUTOEVENTO="Manual",$M169=1),0,IF(OFFSET(CRONOPLE!$F$14,$M169,AM$13)="",10^12,OFFSET(CRONOPLE!$F$14,$M169,AM$13))))</f>
        <v>2</v>
      </c>
      <c r="AN169" s="215">
        <f ca="1">IF($D169&lt;&gt;"Serviço",0,IF(AND(AUTOEVENTO="Manual",$M169=1),0,IF(OFFSET(CRONOPLE!$F$14,$M169,AN$13)="",10^12,OFFSET(CRONOPLE!$F$14,$M169,AN$13))))</f>
        <v>2</v>
      </c>
      <c r="AO169" s="215">
        <f ca="1">IF($D169&lt;&gt;"Serviço",0,IF(AND(AUTOEVENTO="Manual",$M169=1),0,IF(OFFSET(CRONOPLE!$F$14,$M169,AO$13)="",10^12,OFFSET(CRONOPLE!$F$14,$M169,AO$13))))</f>
        <v>3</v>
      </c>
      <c r="AP169" s="215">
        <f ca="1">IF($D169&lt;&gt;"Serviço",0,IF(AND(AUTOEVENTO="Manual",$M169=1),0,IF(OFFSET(CRONOPLE!$F$14,$M169,AP$13)="",10^12,OFFSET(CRONOPLE!$F$14,$M169,AP$13))))</f>
        <v>1000000000000</v>
      </c>
      <c r="AQ169" s="215">
        <f ca="1">IF($D169&lt;&gt;"Serviço",0,IF(AND(AUTOEVENTO="Manual",$M169=1),0,IF(OFFSET(CRONOPLE!$F$14,$M169,AQ$13)="",10^12,OFFSET(CRONOPLE!$F$14,$M169,AQ$13))))</f>
        <v>1000000000000</v>
      </c>
      <c r="AR169" s="215">
        <f ca="1">IF($D169&lt;&gt;"Serviço",0,IF(AND(AUTOEVENTO="Manual",$M169=1),0,IF(OFFSET(CRONOPLE!$F$14,$M169,AR$13)="",10^12,OFFSET(CRONOPLE!$F$14,$M169,AR$13))))</f>
        <v>1000000000000</v>
      </c>
      <c r="AS169" s="215">
        <f ca="1">IF($D169&lt;&gt;"Serviço",0,IF(AND(AUTOEVENTO="Manual",$M169=1),0,IF(OFFSET(CRONOPLE!$F$14,$M169,AS$13)="",10^12,OFFSET(CRONOPLE!$F$14,$M169,AS$13))))</f>
        <v>1000000000000</v>
      </c>
      <c r="AT169" s="215">
        <f ca="1">IF($D169&lt;&gt;"Serviço",0,IF(AND(AUTOEVENTO="Manual",$M169=1),0,IF(OFFSET(CRONOPLE!$F$14,$M169,AT$13)="",10^12,OFFSET(CRONOPLE!$F$14,$M169,AT$13))))</f>
        <v>1000000000000</v>
      </c>
      <c r="AU169" s="215">
        <f ca="1">IF($D169&lt;&gt;"Serviço",0,IF(AND(AUTOEVENTO="Manual",$M169=1),0,IF(OFFSET(CRONOPLE!$F$14,$M169,AU$13)="",10^12,OFFSET(CRONOPLE!$F$14,$M169,AU$13))))</f>
        <v>1000000000000</v>
      </c>
      <c r="AV169" s="215">
        <f ca="1">IF($D169&lt;&gt;"Serviço",0,IF(AND(AUTOEVENTO="Manual",$M169=1),0,IF(OFFSET(CRONOPLE!$F$14,$M169,AV$13)="",10^12,OFFSET(CRONOPLE!$F$14,$M169,AV$13))))</f>
        <v>1000000000000</v>
      </c>
      <c r="AX169" s="216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6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6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6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6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6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6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6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6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6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37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5" t="str">
        <f ca="1">OFFSET(ORÇAMENTO!N$15,ROW(D170)-ROW(D$15),0)</f>
        <v>Serviço</v>
      </c>
      <c r="E170" s="205" t="str">
        <f ca="1">OFFSET(ORÇAMENTO!O$15,ROW(E170)-ROW(E$15),0)</f>
        <v>-</v>
      </c>
      <c r="F170" s="206" t="str">
        <f ca="1">OFFSET(ORÇAMENTO!R$15,ROW(F170)-ROW(F$15),0)</f>
        <v>(abra o arquivo 'Referência 05-2023.xls)</v>
      </c>
      <c r="G170" s="207" t="str">
        <f ca="1">IF($D170&lt;&gt;"Serviço","",OFFSET(ORÇAMENTO!S$15,ROW(G170)-ROW(G$15),0))</f>
        <v>-</v>
      </c>
      <c r="H170" s="151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1"/>
      <c r="K170" s="208"/>
      <c r="L170" s="209" t="s">
        <v>254</v>
      </c>
      <c r="M170" s="210">
        <f ca="1">IF($D170&lt;&gt;"Serviço","",IF(AUTOEVENTO="manual",$A170,IF(ISERROR(MATCH($A170,$A$15:OFFSET($A170,-1,0),0)),MAX($M$15:OFFSET(M170,-1,0))+1,INDEX($M$15:OFFSET(M170,-1,0),MATCH($A170,$A$15:OFFSET($A170,-1,0),0)))))</f>
        <v>5</v>
      </c>
      <c r="N170" s="211" t="str">
        <f ca="1">IF($D170&lt;&gt;"Serviço","",IF(AUTOEVENTO="Manual",IF($A170=0,"&lt;-- defina o número do agrupador",OFFSET(EVENTOS!$D$14,$A170,0)),OFFSET($F$15,$A170,0)))</f>
        <v>PINTURAS E TEXTURAS</v>
      </c>
      <c r="O170" s="212"/>
      <c r="Q170" s="212"/>
      <c r="R170" s="213"/>
      <c r="S170" s="213"/>
      <c r="T170" s="213"/>
      <c r="U170" s="213"/>
      <c r="V170" s="213"/>
      <c r="W170" s="213"/>
      <c r="X170" s="213"/>
      <c r="Y170" s="213"/>
      <c r="Z170" s="214"/>
      <c r="AB170" s="592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3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3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3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3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3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3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3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3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4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5">
        <f ca="1">IF($D170&lt;&gt;"Serviço",0,IF(AND(AUTOEVENTO="Manual",$M170=1),0,IF(OFFSET(CRONOPLE!$F$14,$M170,AM$13)="",10^12,OFFSET(CRONOPLE!$F$14,$M170,AM$13))))</f>
        <v>2</v>
      </c>
      <c r="AN170" s="215">
        <f ca="1">IF($D170&lt;&gt;"Serviço",0,IF(AND(AUTOEVENTO="Manual",$M170=1),0,IF(OFFSET(CRONOPLE!$F$14,$M170,AN$13)="",10^12,OFFSET(CRONOPLE!$F$14,$M170,AN$13))))</f>
        <v>2</v>
      </c>
      <c r="AO170" s="215">
        <f ca="1">IF($D170&lt;&gt;"Serviço",0,IF(AND(AUTOEVENTO="Manual",$M170=1),0,IF(OFFSET(CRONOPLE!$F$14,$M170,AO$13)="",10^12,OFFSET(CRONOPLE!$F$14,$M170,AO$13))))</f>
        <v>3</v>
      </c>
      <c r="AP170" s="215">
        <f ca="1">IF($D170&lt;&gt;"Serviço",0,IF(AND(AUTOEVENTO="Manual",$M170=1),0,IF(OFFSET(CRONOPLE!$F$14,$M170,AP$13)="",10^12,OFFSET(CRONOPLE!$F$14,$M170,AP$13))))</f>
        <v>1000000000000</v>
      </c>
      <c r="AQ170" s="215">
        <f ca="1">IF($D170&lt;&gt;"Serviço",0,IF(AND(AUTOEVENTO="Manual",$M170=1),0,IF(OFFSET(CRONOPLE!$F$14,$M170,AQ$13)="",10^12,OFFSET(CRONOPLE!$F$14,$M170,AQ$13))))</f>
        <v>1000000000000</v>
      </c>
      <c r="AR170" s="215">
        <f ca="1">IF($D170&lt;&gt;"Serviço",0,IF(AND(AUTOEVENTO="Manual",$M170=1),0,IF(OFFSET(CRONOPLE!$F$14,$M170,AR$13)="",10^12,OFFSET(CRONOPLE!$F$14,$M170,AR$13))))</f>
        <v>1000000000000</v>
      </c>
      <c r="AS170" s="215">
        <f ca="1">IF($D170&lt;&gt;"Serviço",0,IF(AND(AUTOEVENTO="Manual",$M170=1),0,IF(OFFSET(CRONOPLE!$F$14,$M170,AS$13)="",10^12,OFFSET(CRONOPLE!$F$14,$M170,AS$13))))</f>
        <v>1000000000000</v>
      </c>
      <c r="AT170" s="215">
        <f ca="1">IF($D170&lt;&gt;"Serviço",0,IF(AND(AUTOEVENTO="Manual",$M170=1),0,IF(OFFSET(CRONOPLE!$F$14,$M170,AT$13)="",10^12,OFFSET(CRONOPLE!$F$14,$M170,AT$13))))</f>
        <v>1000000000000</v>
      </c>
      <c r="AU170" s="215">
        <f ca="1">IF($D170&lt;&gt;"Serviço",0,IF(AND(AUTOEVENTO="Manual",$M170=1),0,IF(OFFSET(CRONOPLE!$F$14,$M170,AU$13)="",10^12,OFFSET(CRONOPLE!$F$14,$M170,AU$13))))</f>
        <v>1000000000000</v>
      </c>
      <c r="AV170" s="215">
        <f ca="1">IF($D170&lt;&gt;"Serviço",0,IF(AND(AUTOEVENTO="Manual",$M170=1),0,IF(OFFSET(CRONOPLE!$F$14,$M170,AV$13)="",10^12,OFFSET(CRONOPLE!$F$14,$M170,AV$13))))</f>
        <v>1000000000000</v>
      </c>
      <c r="AX170" s="216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6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6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6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6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6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6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6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6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6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37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5" t="str">
        <f ca="1">OFFSET(ORÇAMENTO!N$15,ROW(D171)-ROW(D$15),0)</f>
        <v>Serviço</v>
      </c>
      <c r="E171" s="205" t="str">
        <f ca="1">OFFSET(ORÇAMENTO!O$15,ROW(E171)-ROW(E$15),0)</f>
        <v>-</v>
      </c>
      <c r="F171" s="206" t="str">
        <f ca="1">OFFSET(ORÇAMENTO!R$15,ROW(F171)-ROW(F$15),0)</f>
        <v>(abra o arquivo 'Referência 05-2023.xls)</v>
      </c>
      <c r="G171" s="207" t="str">
        <f ca="1">IF($D171&lt;&gt;"Serviço","",OFFSET(ORÇAMENTO!S$15,ROW(G171)-ROW(G$15),0))</f>
        <v>-</v>
      </c>
      <c r="H171" s="151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1"/>
      <c r="K171" s="208"/>
      <c r="L171" s="209" t="s">
        <v>254</v>
      </c>
      <c r="M171" s="210">
        <f ca="1">IF($D171&lt;&gt;"Serviço","",IF(AUTOEVENTO="manual",$A171,IF(ISERROR(MATCH($A171,$A$15:OFFSET($A171,-1,0),0)),MAX($M$15:OFFSET(M171,-1,0))+1,INDEX($M$15:OFFSET(M171,-1,0),MATCH($A171,$A$15:OFFSET($A171,-1,0),0)))))</f>
        <v>5</v>
      </c>
      <c r="N171" s="211" t="str">
        <f ca="1">IF($D171&lt;&gt;"Serviço","",IF(AUTOEVENTO="Manual",IF($A171=0,"&lt;-- defina o número do agrupador",OFFSET(EVENTOS!$D$14,$A171,0)),OFFSET($F$15,$A171,0)))</f>
        <v>PINTURAS E TEXTURAS</v>
      </c>
      <c r="O171" s="212"/>
      <c r="Q171" s="212"/>
      <c r="R171" s="213"/>
      <c r="S171" s="213"/>
      <c r="T171" s="213"/>
      <c r="U171" s="213"/>
      <c r="V171" s="213"/>
      <c r="W171" s="213"/>
      <c r="X171" s="213"/>
      <c r="Y171" s="213"/>
      <c r="Z171" s="214"/>
      <c r="AB171" s="592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3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3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3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3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3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3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3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3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4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5">
        <f ca="1">IF($D171&lt;&gt;"Serviço",0,IF(AND(AUTOEVENTO="Manual",$M171=1),0,IF(OFFSET(CRONOPLE!$F$14,$M171,AM$13)="",10^12,OFFSET(CRONOPLE!$F$14,$M171,AM$13))))</f>
        <v>2</v>
      </c>
      <c r="AN171" s="215">
        <f ca="1">IF($D171&lt;&gt;"Serviço",0,IF(AND(AUTOEVENTO="Manual",$M171=1),0,IF(OFFSET(CRONOPLE!$F$14,$M171,AN$13)="",10^12,OFFSET(CRONOPLE!$F$14,$M171,AN$13))))</f>
        <v>2</v>
      </c>
      <c r="AO171" s="215">
        <f ca="1">IF($D171&lt;&gt;"Serviço",0,IF(AND(AUTOEVENTO="Manual",$M171=1),0,IF(OFFSET(CRONOPLE!$F$14,$M171,AO$13)="",10^12,OFFSET(CRONOPLE!$F$14,$M171,AO$13))))</f>
        <v>3</v>
      </c>
      <c r="AP171" s="215">
        <f ca="1">IF($D171&lt;&gt;"Serviço",0,IF(AND(AUTOEVENTO="Manual",$M171=1),0,IF(OFFSET(CRONOPLE!$F$14,$M171,AP$13)="",10^12,OFFSET(CRONOPLE!$F$14,$M171,AP$13))))</f>
        <v>1000000000000</v>
      </c>
      <c r="AQ171" s="215">
        <f ca="1">IF($D171&lt;&gt;"Serviço",0,IF(AND(AUTOEVENTO="Manual",$M171=1),0,IF(OFFSET(CRONOPLE!$F$14,$M171,AQ$13)="",10^12,OFFSET(CRONOPLE!$F$14,$M171,AQ$13))))</f>
        <v>1000000000000</v>
      </c>
      <c r="AR171" s="215">
        <f ca="1">IF($D171&lt;&gt;"Serviço",0,IF(AND(AUTOEVENTO="Manual",$M171=1),0,IF(OFFSET(CRONOPLE!$F$14,$M171,AR$13)="",10^12,OFFSET(CRONOPLE!$F$14,$M171,AR$13))))</f>
        <v>1000000000000</v>
      </c>
      <c r="AS171" s="215">
        <f ca="1">IF($D171&lt;&gt;"Serviço",0,IF(AND(AUTOEVENTO="Manual",$M171=1),0,IF(OFFSET(CRONOPLE!$F$14,$M171,AS$13)="",10^12,OFFSET(CRONOPLE!$F$14,$M171,AS$13))))</f>
        <v>1000000000000</v>
      </c>
      <c r="AT171" s="215">
        <f ca="1">IF($D171&lt;&gt;"Serviço",0,IF(AND(AUTOEVENTO="Manual",$M171=1),0,IF(OFFSET(CRONOPLE!$F$14,$M171,AT$13)="",10^12,OFFSET(CRONOPLE!$F$14,$M171,AT$13))))</f>
        <v>1000000000000</v>
      </c>
      <c r="AU171" s="215">
        <f ca="1">IF($D171&lt;&gt;"Serviço",0,IF(AND(AUTOEVENTO="Manual",$M171=1),0,IF(OFFSET(CRONOPLE!$F$14,$M171,AU$13)="",10^12,OFFSET(CRONOPLE!$F$14,$M171,AU$13))))</f>
        <v>1000000000000</v>
      </c>
      <c r="AV171" s="215">
        <f ca="1">IF($D171&lt;&gt;"Serviço",0,IF(AND(AUTOEVENTO="Manual",$M171=1),0,IF(OFFSET(CRONOPLE!$F$14,$M171,AV$13)="",10^12,OFFSET(CRONOPLE!$F$14,$M171,AV$13))))</f>
        <v>1000000000000</v>
      </c>
      <c r="AX171" s="216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6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6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6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6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6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6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6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6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6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37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5" t="str">
        <f ca="1">OFFSET(ORÇAMENTO!N$15,ROW(D172)-ROW(D$15),0)</f>
        <v>Serviço</v>
      </c>
      <c r="E172" s="205" t="str">
        <f ca="1">OFFSET(ORÇAMENTO!O$15,ROW(E172)-ROW(E$15),0)</f>
        <v>-</v>
      </c>
      <c r="F172" s="206" t="str">
        <f ca="1">OFFSET(ORÇAMENTO!R$15,ROW(F172)-ROW(F$15),0)</f>
        <v>(abra o arquivo 'Referência 05-2023.xls)</v>
      </c>
      <c r="G172" s="207" t="str">
        <f ca="1">IF($D172&lt;&gt;"Serviço","",OFFSET(ORÇAMENTO!S$15,ROW(G172)-ROW(G$15),0))</f>
        <v>-</v>
      </c>
      <c r="H172" s="151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1"/>
      <c r="K172" s="208"/>
      <c r="L172" s="209" t="s">
        <v>254</v>
      </c>
      <c r="M172" s="210">
        <f ca="1">IF($D172&lt;&gt;"Serviço","",IF(AUTOEVENTO="manual",$A172,IF(ISERROR(MATCH($A172,$A$15:OFFSET($A172,-1,0),0)),MAX($M$15:OFFSET(M172,-1,0))+1,INDEX($M$15:OFFSET(M172,-1,0),MATCH($A172,$A$15:OFFSET($A172,-1,0),0)))))</f>
        <v>5</v>
      </c>
      <c r="N172" s="211" t="str">
        <f ca="1">IF($D172&lt;&gt;"Serviço","",IF(AUTOEVENTO="Manual",IF($A172=0,"&lt;-- defina o número do agrupador",OFFSET(EVENTOS!$D$14,$A172,0)),OFFSET($F$15,$A172,0)))</f>
        <v>PINTURAS E TEXTURAS</v>
      </c>
      <c r="O172" s="212"/>
      <c r="Q172" s="212"/>
      <c r="R172" s="213"/>
      <c r="S172" s="213"/>
      <c r="T172" s="213"/>
      <c r="U172" s="213"/>
      <c r="V172" s="213"/>
      <c r="W172" s="213"/>
      <c r="X172" s="213"/>
      <c r="Y172" s="213"/>
      <c r="Z172" s="214"/>
      <c r="AB172" s="592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3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3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3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3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3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3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3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3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4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5">
        <f ca="1">IF($D172&lt;&gt;"Serviço",0,IF(AND(AUTOEVENTO="Manual",$M172=1),0,IF(OFFSET(CRONOPLE!$F$14,$M172,AM$13)="",10^12,OFFSET(CRONOPLE!$F$14,$M172,AM$13))))</f>
        <v>2</v>
      </c>
      <c r="AN172" s="215">
        <f ca="1">IF($D172&lt;&gt;"Serviço",0,IF(AND(AUTOEVENTO="Manual",$M172=1),0,IF(OFFSET(CRONOPLE!$F$14,$M172,AN$13)="",10^12,OFFSET(CRONOPLE!$F$14,$M172,AN$13))))</f>
        <v>2</v>
      </c>
      <c r="AO172" s="215">
        <f ca="1">IF($D172&lt;&gt;"Serviço",0,IF(AND(AUTOEVENTO="Manual",$M172=1),0,IF(OFFSET(CRONOPLE!$F$14,$M172,AO$13)="",10^12,OFFSET(CRONOPLE!$F$14,$M172,AO$13))))</f>
        <v>3</v>
      </c>
      <c r="AP172" s="215">
        <f ca="1">IF($D172&lt;&gt;"Serviço",0,IF(AND(AUTOEVENTO="Manual",$M172=1),0,IF(OFFSET(CRONOPLE!$F$14,$M172,AP$13)="",10^12,OFFSET(CRONOPLE!$F$14,$M172,AP$13))))</f>
        <v>1000000000000</v>
      </c>
      <c r="AQ172" s="215">
        <f ca="1">IF($D172&lt;&gt;"Serviço",0,IF(AND(AUTOEVENTO="Manual",$M172=1),0,IF(OFFSET(CRONOPLE!$F$14,$M172,AQ$13)="",10^12,OFFSET(CRONOPLE!$F$14,$M172,AQ$13))))</f>
        <v>1000000000000</v>
      </c>
      <c r="AR172" s="215">
        <f ca="1">IF($D172&lt;&gt;"Serviço",0,IF(AND(AUTOEVENTO="Manual",$M172=1),0,IF(OFFSET(CRONOPLE!$F$14,$M172,AR$13)="",10^12,OFFSET(CRONOPLE!$F$14,$M172,AR$13))))</f>
        <v>1000000000000</v>
      </c>
      <c r="AS172" s="215">
        <f ca="1">IF($D172&lt;&gt;"Serviço",0,IF(AND(AUTOEVENTO="Manual",$M172=1),0,IF(OFFSET(CRONOPLE!$F$14,$M172,AS$13)="",10^12,OFFSET(CRONOPLE!$F$14,$M172,AS$13))))</f>
        <v>1000000000000</v>
      </c>
      <c r="AT172" s="215">
        <f ca="1">IF($D172&lt;&gt;"Serviço",0,IF(AND(AUTOEVENTO="Manual",$M172=1),0,IF(OFFSET(CRONOPLE!$F$14,$M172,AT$13)="",10^12,OFFSET(CRONOPLE!$F$14,$M172,AT$13))))</f>
        <v>1000000000000</v>
      </c>
      <c r="AU172" s="215">
        <f ca="1">IF($D172&lt;&gt;"Serviço",0,IF(AND(AUTOEVENTO="Manual",$M172=1),0,IF(OFFSET(CRONOPLE!$F$14,$M172,AU$13)="",10^12,OFFSET(CRONOPLE!$F$14,$M172,AU$13))))</f>
        <v>1000000000000</v>
      </c>
      <c r="AV172" s="215">
        <f ca="1">IF($D172&lt;&gt;"Serviço",0,IF(AND(AUTOEVENTO="Manual",$M172=1),0,IF(OFFSET(CRONOPLE!$F$14,$M172,AV$13)="",10^12,OFFSET(CRONOPLE!$F$14,$M172,AV$13))))</f>
        <v>1000000000000</v>
      </c>
      <c r="AX172" s="216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6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6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6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6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6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6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6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6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6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37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5" t="str">
        <f ca="1">OFFSET(ORÇAMENTO!N$15,ROW(D173)-ROW(D$15),0)</f>
        <v>Serviço</v>
      </c>
      <c r="E173" s="205" t="str">
        <f ca="1">OFFSET(ORÇAMENTO!O$15,ROW(E173)-ROW(E$15),0)</f>
        <v>-</v>
      </c>
      <c r="F173" s="206" t="str">
        <f ca="1">OFFSET(ORÇAMENTO!R$15,ROW(F173)-ROW(F$15),0)</f>
        <v>(abra o arquivo 'Referência 05-2023.xls)</v>
      </c>
      <c r="G173" s="207" t="str">
        <f ca="1">IF($D173&lt;&gt;"Serviço","",OFFSET(ORÇAMENTO!S$15,ROW(G173)-ROW(G$15),0))</f>
        <v>-</v>
      </c>
      <c r="H173" s="151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1"/>
      <c r="K173" s="208"/>
      <c r="L173" s="209" t="s">
        <v>254</v>
      </c>
      <c r="M173" s="210">
        <f ca="1">IF($D173&lt;&gt;"Serviço","",IF(AUTOEVENTO="manual",$A173,IF(ISERROR(MATCH($A173,$A$15:OFFSET($A173,-1,0),0)),MAX($M$15:OFFSET(M173,-1,0))+1,INDEX($M$15:OFFSET(M173,-1,0),MATCH($A173,$A$15:OFFSET($A173,-1,0),0)))))</f>
        <v>5</v>
      </c>
      <c r="N173" s="211" t="str">
        <f ca="1">IF($D173&lt;&gt;"Serviço","",IF(AUTOEVENTO="Manual",IF($A173=0,"&lt;-- defina o número do agrupador",OFFSET(EVENTOS!$D$14,$A173,0)),OFFSET($F$15,$A173,0)))</f>
        <v>PINTURAS E TEXTURAS</v>
      </c>
      <c r="O173" s="212"/>
      <c r="Q173" s="212"/>
      <c r="R173" s="213"/>
      <c r="S173" s="213"/>
      <c r="T173" s="213"/>
      <c r="U173" s="213"/>
      <c r="V173" s="213"/>
      <c r="W173" s="213"/>
      <c r="X173" s="213"/>
      <c r="Y173" s="213"/>
      <c r="Z173" s="214"/>
      <c r="AB173" s="592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3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3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3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3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3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3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3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3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4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5">
        <f ca="1">IF($D173&lt;&gt;"Serviço",0,IF(AND(AUTOEVENTO="Manual",$M173=1),0,IF(OFFSET(CRONOPLE!$F$14,$M173,AM$13)="",10^12,OFFSET(CRONOPLE!$F$14,$M173,AM$13))))</f>
        <v>2</v>
      </c>
      <c r="AN173" s="215">
        <f ca="1">IF($D173&lt;&gt;"Serviço",0,IF(AND(AUTOEVENTO="Manual",$M173=1),0,IF(OFFSET(CRONOPLE!$F$14,$M173,AN$13)="",10^12,OFFSET(CRONOPLE!$F$14,$M173,AN$13))))</f>
        <v>2</v>
      </c>
      <c r="AO173" s="215">
        <f ca="1">IF($D173&lt;&gt;"Serviço",0,IF(AND(AUTOEVENTO="Manual",$M173=1),0,IF(OFFSET(CRONOPLE!$F$14,$M173,AO$13)="",10^12,OFFSET(CRONOPLE!$F$14,$M173,AO$13))))</f>
        <v>3</v>
      </c>
      <c r="AP173" s="215">
        <f ca="1">IF($D173&lt;&gt;"Serviço",0,IF(AND(AUTOEVENTO="Manual",$M173=1),0,IF(OFFSET(CRONOPLE!$F$14,$M173,AP$13)="",10^12,OFFSET(CRONOPLE!$F$14,$M173,AP$13))))</f>
        <v>1000000000000</v>
      </c>
      <c r="AQ173" s="215">
        <f ca="1">IF($D173&lt;&gt;"Serviço",0,IF(AND(AUTOEVENTO="Manual",$M173=1),0,IF(OFFSET(CRONOPLE!$F$14,$M173,AQ$13)="",10^12,OFFSET(CRONOPLE!$F$14,$M173,AQ$13))))</f>
        <v>1000000000000</v>
      </c>
      <c r="AR173" s="215">
        <f ca="1">IF($D173&lt;&gt;"Serviço",0,IF(AND(AUTOEVENTO="Manual",$M173=1),0,IF(OFFSET(CRONOPLE!$F$14,$M173,AR$13)="",10^12,OFFSET(CRONOPLE!$F$14,$M173,AR$13))))</f>
        <v>1000000000000</v>
      </c>
      <c r="AS173" s="215">
        <f ca="1">IF($D173&lt;&gt;"Serviço",0,IF(AND(AUTOEVENTO="Manual",$M173=1),0,IF(OFFSET(CRONOPLE!$F$14,$M173,AS$13)="",10^12,OFFSET(CRONOPLE!$F$14,$M173,AS$13))))</f>
        <v>1000000000000</v>
      </c>
      <c r="AT173" s="215">
        <f ca="1">IF($D173&lt;&gt;"Serviço",0,IF(AND(AUTOEVENTO="Manual",$M173=1),0,IF(OFFSET(CRONOPLE!$F$14,$M173,AT$13)="",10^12,OFFSET(CRONOPLE!$F$14,$M173,AT$13))))</f>
        <v>1000000000000</v>
      </c>
      <c r="AU173" s="215">
        <f ca="1">IF($D173&lt;&gt;"Serviço",0,IF(AND(AUTOEVENTO="Manual",$M173=1),0,IF(OFFSET(CRONOPLE!$F$14,$M173,AU$13)="",10^12,OFFSET(CRONOPLE!$F$14,$M173,AU$13))))</f>
        <v>1000000000000</v>
      </c>
      <c r="AV173" s="215">
        <f ca="1">IF($D173&lt;&gt;"Serviço",0,IF(AND(AUTOEVENTO="Manual",$M173=1),0,IF(OFFSET(CRONOPLE!$F$14,$M173,AV$13)="",10^12,OFFSET(CRONOPLE!$F$14,$M173,AV$13))))</f>
        <v>1000000000000</v>
      </c>
      <c r="AX173" s="216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6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6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6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6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6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6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6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6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6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37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5" t="str">
        <f ca="1">OFFSET(ORÇAMENTO!N$15,ROW(D174)-ROW(D$15),0)</f>
        <v>Serviço</v>
      </c>
      <c r="E174" s="205" t="str">
        <f ca="1">OFFSET(ORÇAMENTO!O$15,ROW(E174)-ROW(E$15),0)</f>
        <v>-</v>
      </c>
      <c r="F174" s="206" t="str">
        <f ca="1">OFFSET(ORÇAMENTO!R$15,ROW(F174)-ROW(F$15),0)</f>
        <v>(abra o arquivo 'Referência 05-2023.xls)</v>
      </c>
      <c r="G174" s="207" t="str">
        <f ca="1">IF($D174&lt;&gt;"Serviço","",OFFSET(ORÇAMENTO!S$15,ROW(G174)-ROW(G$15),0))</f>
        <v>-</v>
      </c>
      <c r="H174" s="151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1"/>
      <c r="K174" s="208"/>
      <c r="L174" s="209" t="s">
        <v>254</v>
      </c>
      <c r="M174" s="210">
        <f ca="1">IF($D174&lt;&gt;"Serviço","",IF(AUTOEVENTO="manual",$A174,IF(ISERROR(MATCH($A174,$A$15:OFFSET($A174,-1,0),0)),MAX($M$15:OFFSET(M174,-1,0))+1,INDEX($M$15:OFFSET(M174,-1,0),MATCH($A174,$A$15:OFFSET($A174,-1,0),0)))))</f>
        <v>5</v>
      </c>
      <c r="N174" s="211" t="str">
        <f ca="1">IF($D174&lt;&gt;"Serviço","",IF(AUTOEVENTO="Manual",IF($A174=0,"&lt;-- defina o número do agrupador",OFFSET(EVENTOS!$D$14,$A174,0)),OFFSET($F$15,$A174,0)))</f>
        <v>PINTURAS E TEXTURAS</v>
      </c>
      <c r="O174" s="212"/>
      <c r="Q174" s="212"/>
      <c r="R174" s="213"/>
      <c r="S174" s="213"/>
      <c r="T174" s="213"/>
      <c r="U174" s="213"/>
      <c r="V174" s="213"/>
      <c r="W174" s="213"/>
      <c r="X174" s="213"/>
      <c r="Y174" s="213"/>
      <c r="Z174" s="214"/>
      <c r="AB174" s="592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3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3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3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3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3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3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3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3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4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5">
        <f ca="1">IF($D174&lt;&gt;"Serviço",0,IF(AND(AUTOEVENTO="Manual",$M174=1),0,IF(OFFSET(CRONOPLE!$F$14,$M174,AM$13)="",10^12,OFFSET(CRONOPLE!$F$14,$M174,AM$13))))</f>
        <v>2</v>
      </c>
      <c r="AN174" s="215">
        <f ca="1">IF($D174&lt;&gt;"Serviço",0,IF(AND(AUTOEVENTO="Manual",$M174=1),0,IF(OFFSET(CRONOPLE!$F$14,$M174,AN$13)="",10^12,OFFSET(CRONOPLE!$F$14,$M174,AN$13))))</f>
        <v>2</v>
      </c>
      <c r="AO174" s="215">
        <f ca="1">IF($D174&lt;&gt;"Serviço",0,IF(AND(AUTOEVENTO="Manual",$M174=1),0,IF(OFFSET(CRONOPLE!$F$14,$M174,AO$13)="",10^12,OFFSET(CRONOPLE!$F$14,$M174,AO$13))))</f>
        <v>3</v>
      </c>
      <c r="AP174" s="215">
        <f ca="1">IF($D174&lt;&gt;"Serviço",0,IF(AND(AUTOEVENTO="Manual",$M174=1),0,IF(OFFSET(CRONOPLE!$F$14,$M174,AP$13)="",10^12,OFFSET(CRONOPLE!$F$14,$M174,AP$13))))</f>
        <v>1000000000000</v>
      </c>
      <c r="AQ174" s="215">
        <f ca="1">IF($D174&lt;&gt;"Serviço",0,IF(AND(AUTOEVENTO="Manual",$M174=1),0,IF(OFFSET(CRONOPLE!$F$14,$M174,AQ$13)="",10^12,OFFSET(CRONOPLE!$F$14,$M174,AQ$13))))</f>
        <v>1000000000000</v>
      </c>
      <c r="AR174" s="215">
        <f ca="1">IF($D174&lt;&gt;"Serviço",0,IF(AND(AUTOEVENTO="Manual",$M174=1),0,IF(OFFSET(CRONOPLE!$F$14,$M174,AR$13)="",10^12,OFFSET(CRONOPLE!$F$14,$M174,AR$13))))</f>
        <v>1000000000000</v>
      </c>
      <c r="AS174" s="215">
        <f ca="1">IF($D174&lt;&gt;"Serviço",0,IF(AND(AUTOEVENTO="Manual",$M174=1),0,IF(OFFSET(CRONOPLE!$F$14,$M174,AS$13)="",10^12,OFFSET(CRONOPLE!$F$14,$M174,AS$13))))</f>
        <v>1000000000000</v>
      </c>
      <c r="AT174" s="215">
        <f ca="1">IF($D174&lt;&gt;"Serviço",0,IF(AND(AUTOEVENTO="Manual",$M174=1),0,IF(OFFSET(CRONOPLE!$F$14,$M174,AT$13)="",10^12,OFFSET(CRONOPLE!$F$14,$M174,AT$13))))</f>
        <v>1000000000000</v>
      </c>
      <c r="AU174" s="215">
        <f ca="1">IF($D174&lt;&gt;"Serviço",0,IF(AND(AUTOEVENTO="Manual",$M174=1),0,IF(OFFSET(CRONOPLE!$F$14,$M174,AU$13)="",10^12,OFFSET(CRONOPLE!$F$14,$M174,AU$13))))</f>
        <v>1000000000000</v>
      </c>
      <c r="AV174" s="215">
        <f ca="1">IF($D174&lt;&gt;"Serviço",0,IF(AND(AUTOEVENTO="Manual",$M174=1),0,IF(OFFSET(CRONOPLE!$F$14,$M174,AV$13)="",10^12,OFFSET(CRONOPLE!$F$14,$M174,AV$13))))</f>
        <v>1000000000000</v>
      </c>
      <c r="AX174" s="216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6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6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6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6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6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6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6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6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6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37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5" t="str">
        <f ca="1">OFFSET(ORÇAMENTO!N$15,ROW(D175)-ROW(D$15),0)</f>
        <v>Serviço</v>
      </c>
      <c r="E175" s="205" t="str">
        <f ca="1">OFFSET(ORÇAMENTO!O$15,ROW(E175)-ROW(E$15),0)</f>
        <v>-</v>
      </c>
      <c r="F175" s="206" t="str">
        <f ca="1">OFFSET(ORÇAMENTO!R$15,ROW(F175)-ROW(F$15),0)</f>
        <v>(abra o arquivo 'Referência 05-2023.xls)</v>
      </c>
      <c r="G175" s="207" t="str">
        <f ca="1">IF($D175&lt;&gt;"Serviço","",OFFSET(ORÇAMENTO!S$15,ROW(G175)-ROW(G$15),0))</f>
        <v>-</v>
      </c>
      <c r="H175" s="151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1"/>
      <c r="K175" s="208"/>
      <c r="L175" s="209" t="s">
        <v>254</v>
      </c>
      <c r="M175" s="210">
        <f ca="1">IF($D175&lt;&gt;"Serviço","",IF(AUTOEVENTO="manual",$A175,IF(ISERROR(MATCH($A175,$A$15:OFFSET($A175,-1,0),0)),MAX($M$15:OFFSET(M175,-1,0))+1,INDEX($M$15:OFFSET(M175,-1,0),MATCH($A175,$A$15:OFFSET($A175,-1,0),0)))))</f>
        <v>5</v>
      </c>
      <c r="N175" s="211" t="str">
        <f ca="1">IF($D175&lt;&gt;"Serviço","",IF(AUTOEVENTO="Manual",IF($A175=0,"&lt;-- defina o número do agrupador",OFFSET(EVENTOS!$D$14,$A175,0)),OFFSET($F$15,$A175,0)))</f>
        <v>PINTURAS E TEXTURAS</v>
      </c>
      <c r="O175" s="212"/>
      <c r="Q175" s="212"/>
      <c r="R175" s="213"/>
      <c r="S175" s="213"/>
      <c r="T175" s="213"/>
      <c r="U175" s="213"/>
      <c r="V175" s="213"/>
      <c r="W175" s="213"/>
      <c r="X175" s="213"/>
      <c r="Y175" s="213"/>
      <c r="Z175" s="214"/>
      <c r="AB175" s="592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3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3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3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3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3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3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3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3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4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5">
        <f ca="1">IF($D175&lt;&gt;"Serviço",0,IF(AND(AUTOEVENTO="Manual",$M175=1),0,IF(OFFSET(CRONOPLE!$F$14,$M175,AM$13)="",10^12,OFFSET(CRONOPLE!$F$14,$M175,AM$13))))</f>
        <v>2</v>
      </c>
      <c r="AN175" s="215">
        <f ca="1">IF($D175&lt;&gt;"Serviço",0,IF(AND(AUTOEVENTO="Manual",$M175=1),0,IF(OFFSET(CRONOPLE!$F$14,$M175,AN$13)="",10^12,OFFSET(CRONOPLE!$F$14,$M175,AN$13))))</f>
        <v>2</v>
      </c>
      <c r="AO175" s="215">
        <f ca="1">IF($D175&lt;&gt;"Serviço",0,IF(AND(AUTOEVENTO="Manual",$M175=1),0,IF(OFFSET(CRONOPLE!$F$14,$M175,AO$13)="",10^12,OFFSET(CRONOPLE!$F$14,$M175,AO$13))))</f>
        <v>3</v>
      </c>
      <c r="AP175" s="215">
        <f ca="1">IF($D175&lt;&gt;"Serviço",0,IF(AND(AUTOEVENTO="Manual",$M175=1),0,IF(OFFSET(CRONOPLE!$F$14,$M175,AP$13)="",10^12,OFFSET(CRONOPLE!$F$14,$M175,AP$13))))</f>
        <v>1000000000000</v>
      </c>
      <c r="AQ175" s="215">
        <f ca="1">IF($D175&lt;&gt;"Serviço",0,IF(AND(AUTOEVENTO="Manual",$M175=1),0,IF(OFFSET(CRONOPLE!$F$14,$M175,AQ$13)="",10^12,OFFSET(CRONOPLE!$F$14,$M175,AQ$13))))</f>
        <v>1000000000000</v>
      </c>
      <c r="AR175" s="215">
        <f ca="1">IF($D175&lt;&gt;"Serviço",0,IF(AND(AUTOEVENTO="Manual",$M175=1),0,IF(OFFSET(CRONOPLE!$F$14,$M175,AR$13)="",10^12,OFFSET(CRONOPLE!$F$14,$M175,AR$13))))</f>
        <v>1000000000000</v>
      </c>
      <c r="AS175" s="215">
        <f ca="1">IF($D175&lt;&gt;"Serviço",0,IF(AND(AUTOEVENTO="Manual",$M175=1),0,IF(OFFSET(CRONOPLE!$F$14,$M175,AS$13)="",10^12,OFFSET(CRONOPLE!$F$14,$M175,AS$13))))</f>
        <v>1000000000000</v>
      </c>
      <c r="AT175" s="215">
        <f ca="1">IF($D175&lt;&gt;"Serviço",0,IF(AND(AUTOEVENTO="Manual",$M175=1),0,IF(OFFSET(CRONOPLE!$F$14,$M175,AT$13)="",10^12,OFFSET(CRONOPLE!$F$14,$M175,AT$13))))</f>
        <v>1000000000000</v>
      </c>
      <c r="AU175" s="215">
        <f ca="1">IF($D175&lt;&gt;"Serviço",0,IF(AND(AUTOEVENTO="Manual",$M175=1),0,IF(OFFSET(CRONOPLE!$F$14,$M175,AU$13)="",10^12,OFFSET(CRONOPLE!$F$14,$M175,AU$13))))</f>
        <v>1000000000000</v>
      </c>
      <c r="AV175" s="215">
        <f ca="1">IF($D175&lt;&gt;"Serviço",0,IF(AND(AUTOEVENTO="Manual",$M175=1),0,IF(OFFSET(CRONOPLE!$F$14,$M175,AV$13)="",10^12,OFFSET(CRONOPLE!$F$14,$M175,AV$13))))</f>
        <v>1000000000000</v>
      </c>
      <c r="AX175" s="216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6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6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6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6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6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6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6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6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6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37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5" t="str">
        <f ca="1">OFFSET(ORÇAMENTO!N$15,ROW(D176)-ROW(D$15),0)</f>
        <v>Serviço</v>
      </c>
      <c r="E176" s="205" t="str">
        <f ca="1">OFFSET(ORÇAMENTO!O$15,ROW(E176)-ROW(E$15),0)</f>
        <v>-</v>
      </c>
      <c r="F176" s="206" t="str">
        <f ca="1">OFFSET(ORÇAMENTO!R$15,ROW(F176)-ROW(F$15),0)</f>
        <v>(abra o arquivo 'Referência 05-2023.xls)</v>
      </c>
      <c r="G176" s="207" t="str">
        <f ca="1">IF($D176&lt;&gt;"Serviço","",OFFSET(ORÇAMENTO!S$15,ROW(G176)-ROW(G$15),0))</f>
        <v>-</v>
      </c>
      <c r="H176" s="151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1"/>
      <c r="K176" s="208"/>
      <c r="L176" s="209" t="s">
        <v>254</v>
      </c>
      <c r="M176" s="210">
        <f ca="1">IF($D176&lt;&gt;"Serviço","",IF(AUTOEVENTO="manual",$A176,IF(ISERROR(MATCH($A176,$A$15:OFFSET($A176,-1,0),0)),MAX($M$15:OFFSET(M176,-1,0))+1,INDEX($M$15:OFFSET(M176,-1,0),MATCH($A176,$A$15:OFFSET($A176,-1,0),0)))))</f>
        <v>5</v>
      </c>
      <c r="N176" s="211" t="str">
        <f ca="1">IF($D176&lt;&gt;"Serviço","",IF(AUTOEVENTO="Manual",IF($A176=0,"&lt;-- defina o número do agrupador",OFFSET(EVENTOS!$D$14,$A176,0)),OFFSET($F$15,$A176,0)))</f>
        <v>PINTURAS E TEXTURAS</v>
      </c>
      <c r="O176" s="212"/>
      <c r="Q176" s="212"/>
      <c r="R176" s="213"/>
      <c r="S176" s="213"/>
      <c r="T176" s="213"/>
      <c r="U176" s="213"/>
      <c r="V176" s="213"/>
      <c r="W176" s="213"/>
      <c r="X176" s="213"/>
      <c r="Y176" s="213"/>
      <c r="Z176" s="214"/>
      <c r="AB176" s="592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3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3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3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3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3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3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3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3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4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5">
        <f ca="1">IF($D176&lt;&gt;"Serviço",0,IF(AND(AUTOEVENTO="Manual",$M176=1),0,IF(OFFSET(CRONOPLE!$F$14,$M176,AM$13)="",10^12,OFFSET(CRONOPLE!$F$14,$M176,AM$13))))</f>
        <v>2</v>
      </c>
      <c r="AN176" s="215">
        <f ca="1">IF($D176&lt;&gt;"Serviço",0,IF(AND(AUTOEVENTO="Manual",$M176=1),0,IF(OFFSET(CRONOPLE!$F$14,$M176,AN$13)="",10^12,OFFSET(CRONOPLE!$F$14,$M176,AN$13))))</f>
        <v>2</v>
      </c>
      <c r="AO176" s="215">
        <f ca="1">IF($D176&lt;&gt;"Serviço",0,IF(AND(AUTOEVENTO="Manual",$M176=1),0,IF(OFFSET(CRONOPLE!$F$14,$M176,AO$13)="",10^12,OFFSET(CRONOPLE!$F$14,$M176,AO$13))))</f>
        <v>3</v>
      </c>
      <c r="AP176" s="215">
        <f ca="1">IF($D176&lt;&gt;"Serviço",0,IF(AND(AUTOEVENTO="Manual",$M176=1),0,IF(OFFSET(CRONOPLE!$F$14,$M176,AP$13)="",10^12,OFFSET(CRONOPLE!$F$14,$M176,AP$13))))</f>
        <v>1000000000000</v>
      </c>
      <c r="AQ176" s="215">
        <f ca="1">IF($D176&lt;&gt;"Serviço",0,IF(AND(AUTOEVENTO="Manual",$M176=1),0,IF(OFFSET(CRONOPLE!$F$14,$M176,AQ$13)="",10^12,OFFSET(CRONOPLE!$F$14,$M176,AQ$13))))</f>
        <v>1000000000000</v>
      </c>
      <c r="AR176" s="215">
        <f ca="1">IF($D176&lt;&gt;"Serviço",0,IF(AND(AUTOEVENTO="Manual",$M176=1),0,IF(OFFSET(CRONOPLE!$F$14,$M176,AR$13)="",10^12,OFFSET(CRONOPLE!$F$14,$M176,AR$13))))</f>
        <v>1000000000000</v>
      </c>
      <c r="AS176" s="215">
        <f ca="1">IF($D176&lt;&gt;"Serviço",0,IF(AND(AUTOEVENTO="Manual",$M176=1),0,IF(OFFSET(CRONOPLE!$F$14,$M176,AS$13)="",10^12,OFFSET(CRONOPLE!$F$14,$M176,AS$13))))</f>
        <v>1000000000000</v>
      </c>
      <c r="AT176" s="215">
        <f ca="1">IF($D176&lt;&gt;"Serviço",0,IF(AND(AUTOEVENTO="Manual",$M176=1),0,IF(OFFSET(CRONOPLE!$F$14,$M176,AT$13)="",10^12,OFFSET(CRONOPLE!$F$14,$M176,AT$13))))</f>
        <v>1000000000000</v>
      </c>
      <c r="AU176" s="215">
        <f ca="1">IF($D176&lt;&gt;"Serviço",0,IF(AND(AUTOEVENTO="Manual",$M176=1),0,IF(OFFSET(CRONOPLE!$F$14,$M176,AU$13)="",10^12,OFFSET(CRONOPLE!$F$14,$M176,AU$13))))</f>
        <v>1000000000000</v>
      </c>
      <c r="AV176" s="215">
        <f ca="1">IF($D176&lt;&gt;"Serviço",0,IF(AND(AUTOEVENTO="Manual",$M176=1),0,IF(OFFSET(CRONOPLE!$F$14,$M176,AV$13)="",10^12,OFFSET(CRONOPLE!$F$14,$M176,AV$13))))</f>
        <v>1000000000000</v>
      </c>
      <c r="AX176" s="216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6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6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6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6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6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6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6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6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6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37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5" t="str">
        <f ca="1">OFFSET(ORÇAMENTO!N$15,ROW(D177)-ROW(D$15),0)</f>
        <v>Serviço</v>
      </c>
      <c r="E177" s="205" t="str">
        <f ca="1">OFFSET(ORÇAMENTO!O$15,ROW(E177)-ROW(E$15),0)</f>
        <v>-</v>
      </c>
      <c r="F177" s="206" t="str">
        <f ca="1">OFFSET(ORÇAMENTO!R$15,ROW(F177)-ROW(F$15),0)</f>
        <v>(abra o arquivo 'Referência 05-2023.xls)</v>
      </c>
      <c r="G177" s="207" t="str">
        <f ca="1">IF($D177&lt;&gt;"Serviço","",OFFSET(ORÇAMENTO!S$15,ROW(G177)-ROW(G$15),0))</f>
        <v>-</v>
      </c>
      <c r="H177" s="151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1"/>
      <c r="K177" s="208"/>
      <c r="L177" s="209" t="s">
        <v>254</v>
      </c>
      <c r="M177" s="210">
        <f ca="1">IF($D177&lt;&gt;"Serviço","",IF(AUTOEVENTO="manual",$A177,IF(ISERROR(MATCH($A177,$A$15:OFFSET($A177,-1,0),0)),MAX($M$15:OFFSET(M177,-1,0))+1,INDEX($M$15:OFFSET(M177,-1,0),MATCH($A177,$A$15:OFFSET($A177,-1,0),0)))))</f>
        <v>5</v>
      </c>
      <c r="N177" s="211" t="str">
        <f ca="1">IF($D177&lt;&gt;"Serviço","",IF(AUTOEVENTO="Manual",IF($A177=0,"&lt;-- defina o número do agrupador",OFFSET(EVENTOS!$D$14,$A177,0)),OFFSET($F$15,$A177,0)))</f>
        <v>PINTURAS E TEXTURAS</v>
      </c>
      <c r="O177" s="212"/>
      <c r="Q177" s="212"/>
      <c r="R177" s="213"/>
      <c r="S177" s="213"/>
      <c r="T177" s="213"/>
      <c r="U177" s="213"/>
      <c r="V177" s="213"/>
      <c r="W177" s="213"/>
      <c r="X177" s="213"/>
      <c r="Y177" s="213"/>
      <c r="Z177" s="214"/>
      <c r="AB177" s="592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3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3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3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3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3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3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3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3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4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5">
        <f ca="1">IF($D177&lt;&gt;"Serviço",0,IF(AND(AUTOEVENTO="Manual",$M177=1),0,IF(OFFSET(CRONOPLE!$F$14,$M177,AM$13)="",10^12,OFFSET(CRONOPLE!$F$14,$M177,AM$13))))</f>
        <v>2</v>
      </c>
      <c r="AN177" s="215">
        <f ca="1">IF($D177&lt;&gt;"Serviço",0,IF(AND(AUTOEVENTO="Manual",$M177=1),0,IF(OFFSET(CRONOPLE!$F$14,$M177,AN$13)="",10^12,OFFSET(CRONOPLE!$F$14,$M177,AN$13))))</f>
        <v>2</v>
      </c>
      <c r="AO177" s="215">
        <f ca="1">IF($D177&lt;&gt;"Serviço",0,IF(AND(AUTOEVENTO="Manual",$M177=1),0,IF(OFFSET(CRONOPLE!$F$14,$M177,AO$13)="",10^12,OFFSET(CRONOPLE!$F$14,$M177,AO$13))))</f>
        <v>3</v>
      </c>
      <c r="AP177" s="215">
        <f ca="1">IF($D177&lt;&gt;"Serviço",0,IF(AND(AUTOEVENTO="Manual",$M177=1),0,IF(OFFSET(CRONOPLE!$F$14,$M177,AP$13)="",10^12,OFFSET(CRONOPLE!$F$14,$M177,AP$13))))</f>
        <v>1000000000000</v>
      </c>
      <c r="AQ177" s="215">
        <f ca="1">IF($D177&lt;&gt;"Serviço",0,IF(AND(AUTOEVENTO="Manual",$M177=1),0,IF(OFFSET(CRONOPLE!$F$14,$M177,AQ$13)="",10^12,OFFSET(CRONOPLE!$F$14,$M177,AQ$13))))</f>
        <v>1000000000000</v>
      </c>
      <c r="AR177" s="215">
        <f ca="1">IF($D177&lt;&gt;"Serviço",0,IF(AND(AUTOEVENTO="Manual",$M177=1),0,IF(OFFSET(CRONOPLE!$F$14,$M177,AR$13)="",10^12,OFFSET(CRONOPLE!$F$14,$M177,AR$13))))</f>
        <v>1000000000000</v>
      </c>
      <c r="AS177" s="215">
        <f ca="1">IF($D177&lt;&gt;"Serviço",0,IF(AND(AUTOEVENTO="Manual",$M177=1),0,IF(OFFSET(CRONOPLE!$F$14,$M177,AS$13)="",10^12,OFFSET(CRONOPLE!$F$14,$M177,AS$13))))</f>
        <v>1000000000000</v>
      </c>
      <c r="AT177" s="215">
        <f ca="1">IF($D177&lt;&gt;"Serviço",0,IF(AND(AUTOEVENTO="Manual",$M177=1),0,IF(OFFSET(CRONOPLE!$F$14,$M177,AT$13)="",10^12,OFFSET(CRONOPLE!$F$14,$M177,AT$13))))</f>
        <v>1000000000000</v>
      </c>
      <c r="AU177" s="215">
        <f ca="1">IF($D177&lt;&gt;"Serviço",0,IF(AND(AUTOEVENTO="Manual",$M177=1),0,IF(OFFSET(CRONOPLE!$F$14,$M177,AU$13)="",10^12,OFFSET(CRONOPLE!$F$14,$M177,AU$13))))</f>
        <v>1000000000000</v>
      </c>
      <c r="AV177" s="215">
        <f ca="1">IF($D177&lt;&gt;"Serviço",0,IF(AND(AUTOEVENTO="Manual",$M177=1),0,IF(OFFSET(CRONOPLE!$F$14,$M177,AV$13)="",10^12,OFFSET(CRONOPLE!$F$14,$M177,AV$13))))</f>
        <v>1000000000000</v>
      </c>
      <c r="AX177" s="216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6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6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6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6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6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6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6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6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6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37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5" t="str">
        <f ca="1">OFFSET(ORÇAMENTO!N$15,ROW(D178)-ROW(D$15),0)</f>
        <v>Serviço</v>
      </c>
      <c r="E178" s="205" t="str">
        <f ca="1">OFFSET(ORÇAMENTO!O$15,ROW(E178)-ROW(E$15),0)</f>
        <v>-</v>
      </c>
      <c r="F178" s="206" t="str">
        <f ca="1">OFFSET(ORÇAMENTO!R$15,ROW(F178)-ROW(F$15),0)</f>
        <v>(abra o arquivo 'Referência 05-2023.xls)</v>
      </c>
      <c r="G178" s="207" t="str">
        <f ca="1">IF($D178&lt;&gt;"Serviço","",OFFSET(ORÇAMENTO!S$15,ROW(G178)-ROW(G$15),0))</f>
        <v>-</v>
      </c>
      <c r="H178" s="151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1"/>
      <c r="K178" s="208"/>
      <c r="L178" s="209" t="s">
        <v>254</v>
      </c>
      <c r="M178" s="210">
        <f ca="1">IF($D178&lt;&gt;"Serviço","",IF(AUTOEVENTO="manual",$A178,IF(ISERROR(MATCH($A178,$A$15:OFFSET($A178,-1,0),0)),MAX($M$15:OFFSET(M178,-1,0))+1,INDEX($M$15:OFFSET(M178,-1,0),MATCH($A178,$A$15:OFFSET($A178,-1,0),0)))))</f>
        <v>5</v>
      </c>
      <c r="N178" s="211" t="str">
        <f ca="1">IF($D178&lt;&gt;"Serviço","",IF(AUTOEVENTO="Manual",IF($A178=0,"&lt;-- defina o número do agrupador",OFFSET(EVENTOS!$D$14,$A178,0)),OFFSET($F$15,$A178,0)))</f>
        <v>PINTURAS E TEXTURAS</v>
      </c>
      <c r="O178" s="212"/>
      <c r="Q178" s="212"/>
      <c r="R178" s="213"/>
      <c r="S178" s="213"/>
      <c r="T178" s="213"/>
      <c r="U178" s="213"/>
      <c r="V178" s="213"/>
      <c r="W178" s="213"/>
      <c r="X178" s="213"/>
      <c r="Y178" s="213"/>
      <c r="Z178" s="214"/>
      <c r="AB178" s="592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3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3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3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3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3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3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3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3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4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5">
        <f ca="1">IF($D178&lt;&gt;"Serviço",0,IF(AND(AUTOEVENTO="Manual",$M178=1),0,IF(OFFSET(CRONOPLE!$F$14,$M178,AM$13)="",10^12,OFFSET(CRONOPLE!$F$14,$M178,AM$13))))</f>
        <v>2</v>
      </c>
      <c r="AN178" s="215">
        <f ca="1">IF($D178&lt;&gt;"Serviço",0,IF(AND(AUTOEVENTO="Manual",$M178=1),0,IF(OFFSET(CRONOPLE!$F$14,$M178,AN$13)="",10^12,OFFSET(CRONOPLE!$F$14,$M178,AN$13))))</f>
        <v>2</v>
      </c>
      <c r="AO178" s="215">
        <f ca="1">IF($D178&lt;&gt;"Serviço",0,IF(AND(AUTOEVENTO="Manual",$M178=1),0,IF(OFFSET(CRONOPLE!$F$14,$M178,AO$13)="",10^12,OFFSET(CRONOPLE!$F$14,$M178,AO$13))))</f>
        <v>3</v>
      </c>
      <c r="AP178" s="215">
        <f ca="1">IF($D178&lt;&gt;"Serviço",0,IF(AND(AUTOEVENTO="Manual",$M178=1),0,IF(OFFSET(CRONOPLE!$F$14,$M178,AP$13)="",10^12,OFFSET(CRONOPLE!$F$14,$M178,AP$13))))</f>
        <v>1000000000000</v>
      </c>
      <c r="AQ178" s="215">
        <f ca="1">IF($D178&lt;&gt;"Serviço",0,IF(AND(AUTOEVENTO="Manual",$M178=1),0,IF(OFFSET(CRONOPLE!$F$14,$M178,AQ$13)="",10^12,OFFSET(CRONOPLE!$F$14,$M178,AQ$13))))</f>
        <v>1000000000000</v>
      </c>
      <c r="AR178" s="215">
        <f ca="1">IF($D178&lt;&gt;"Serviço",0,IF(AND(AUTOEVENTO="Manual",$M178=1),0,IF(OFFSET(CRONOPLE!$F$14,$M178,AR$13)="",10^12,OFFSET(CRONOPLE!$F$14,$M178,AR$13))))</f>
        <v>1000000000000</v>
      </c>
      <c r="AS178" s="215">
        <f ca="1">IF($D178&lt;&gt;"Serviço",0,IF(AND(AUTOEVENTO="Manual",$M178=1),0,IF(OFFSET(CRONOPLE!$F$14,$M178,AS$13)="",10^12,OFFSET(CRONOPLE!$F$14,$M178,AS$13))))</f>
        <v>1000000000000</v>
      </c>
      <c r="AT178" s="215">
        <f ca="1">IF($D178&lt;&gt;"Serviço",0,IF(AND(AUTOEVENTO="Manual",$M178=1),0,IF(OFFSET(CRONOPLE!$F$14,$M178,AT$13)="",10^12,OFFSET(CRONOPLE!$F$14,$M178,AT$13))))</f>
        <v>1000000000000</v>
      </c>
      <c r="AU178" s="215">
        <f ca="1">IF($D178&lt;&gt;"Serviço",0,IF(AND(AUTOEVENTO="Manual",$M178=1),0,IF(OFFSET(CRONOPLE!$F$14,$M178,AU$13)="",10^12,OFFSET(CRONOPLE!$F$14,$M178,AU$13))))</f>
        <v>1000000000000</v>
      </c>
      <c r="AV178" s="215">
        <f ca="1">IF($D178&lt;&gt;"Serviço",0,IF(AND(AUTOEVENTO="Manual",$M178=1),0,IF(OFFSET(CRONOPLE!$F$14,$M178,AV$13)="",10^12,OFFSET(CRONOPLE!$F$14,$M178,AV$13))))</f>
        <v>1000000000000</v>
      </c>
      <c r="AX178" s="216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6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6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6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6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6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6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6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6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6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37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5" t="str">
        <f ca="1">OFFSET(ORÇAMENTO!N$15,ROW(D179)-ROW(D$15),0)</f>
        <v>Serviço</v>
      </c>
      <c r="E179" s="205" t="str">
        <f ca="1">OFFSET(ORÇAMENTO!O$15,ROW(E179)-ROW(E$15),0)</f>
        <v>-</v>
      </c>
      <c r="F179" s="206" t="str">
        <f ca="1">OFFSET(ORÇAMENTO!R$15,ROW(F179)-ROW(F$15),0)</f>
        <v>(abra o arquivo 'Referência 05-2023.xls)</v>
      </c>
      <c r="G179" s="207" t="str">
        <f ca="1">IF($D179&lt;&gt;"Serviço","",OFFSET(ORÇAMENTO!S$15,ROW(G179)-ROW(G$15),0))</f>
        <v>-</v>
      </c>
      <c r="H179" s="151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1"/>
      <c r="K179" s="208"/>
      <c r="L179" s="209" t="s">
        <v>254</v>
      </c>
      <c r="M179" s="210">
        <f ca="1">IF($D179&lt;&gt;"Serviço","",IF(AUTOEVENTO="manual",$A179,IF(ISERROR(MATCH($A179,$A$15:OFFSET($A179,-1,0),0)),MAX($M$15:OFFSET(M179,-1,0))+1,INDEX($M$15:OFFSET(M179,-1,0),MATCH($A179,$A$15:OFFSET($A179,-1,0),0)))))</f>
        <v>5</v>
      </c>
      <c r="N179" s="211" t="str">
        <f ca="1">IF($D179&lt;&gt;"Serviço","",IF(AUTOEVENTO="Manual",IF($A179=0,"&lt;-- defina o número do agrupador",OFFSET(EVENTOS!$D$14,$A179,0)),OFFSET($F$15,$A179,0)))</f>
        <v>PINTURAS E TEXTURAS</v>
      </c>
      <c r="O179" s="212"/>
      <c r="Q179" s="212"/>
      <c r="R179" s="213"/>
      <c r="S179" s="213"/>
      <c r="T179" s="213"/>
      <c r="U179" s="213"/>
      <c r="V179" s="213"/>
      <c r="W179" s="213"/>
      <c r="X179" s="213"/>
      <c r="Y179" s="213"/>
      <c r="Z179" s="214"/>
      <c r="AB179" s="592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3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3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3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3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3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3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3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3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4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5">
        <f ca="1">IF($D179&lt;&gt;"Serviço",0,IF(AND(AUTOEVENTO="Manual",$M179=1),0,IF(OFFSET(CRONOPLE!$F$14,$M179,AM$13)="",10^12,OFFSET(CRONOPLE!$F$14,$M179,AM$13))))</f>
        <v>2</v>
      </c>
      <c r="AN179" s="215">
        <f ca="1">IF($D179&lt;&gt;"Serviço",0,IF(AND(AUTOEVENTO="Manual",$M179=1),0,IF(OFFSET(CRONOPLE!$F$14,$M179,AN$13)="",10^12,OFFSET(CRONOPLE!$F$14,$M179,AN$13))))</f>
        <v>2</v>
      </c>
      <c r="AO179" s="215">
        <f ca="1">IF($D179&lt;&gt;"Serviço",0,IF(AND(AUTOEVENTO="Manual",$M179=1),0,IF(OFFSET(CRONOPLE!$F$14,$M179,AO$13)="",10^12,OFFSET(CRONOPLE!$F$14,$M179,AO$13))))</f>
        <v>3</v>
      </c>
      <c r="AP179" s="215">
        <f ca="1">IF($D179&lt;&gt;"Serviço",0,IF(AND(AUTOEVENTO="Manual",$M179=1),0,IF(OFFSET(CRONOPLE!$F$14,$M179,AP$13)="",10^12,OFFSET(CRONOPLE!$F$14,$M179,AP$13))))</f>
        <v>1000000000000</v>
      </c>
      <c r="AQ179" s="215">
        <f ca="1">IF($D179&lt;&gt;"Serviço",0,IF(AND(AUTOEVENTO="Manual",$M179=1),0,IF(OFFSET(CRONOPLE!$F$14,$M179,AQ$13)="",10^12,OFFSET(CRONOPLE!$F$14,$M179,AQ$13))))</f>
        <v>1000000000000</v>
      </c>
      <c r="AR179" s="215">
        <f ca="1">IF($D179&lt;&gt;"Serviço",0,IF(AND(AUTOEVENTO="Manual",$M179=1),0,IF(OFFSET(CRONOPLE!$F$14,$M179,AR$13)="",10^12,OFFSET(CRONOPLE!$F$14,$M179,AR$13))))</f>
        <v>1000000000000</v>
      </c>
      <c r="AS179" s="215">
        <f ca="1">IF($D179&lt;&gt;"Serviço",0,IF(AND(AUTOEVENTO="Manual",$M179=1),0,IF(OFFSET(CRONOPLE!$F$14,$M179,AS$13)="",10^12,OFFSET(CRONOPLE!$F$14,$M179,AS$13))))</f>
        <v>1000000000000</v>
      </c>
      <c r="AT179" s="215">
        <f ca="1">IF($D179&lt;&gt;"Serviço",0,IF(AND(AUTOEVENTO="Manual",$M179=1),0,IF(OFFSET(CRONOPLE!$F$14,$M179,AT$13)="",10^12,OFFSET(CRONOPLE!$F$14,$M179,AT$13))))</f>
        <v>1000000000000</v>
      </c>
      <c r="AU179" s="215">
        <f ca="1">IF($D179&lt;&gt;"Serviço",0,IF(AND(AUTOEVENTO="Manual",$M179=1),0,IF(OFFSET(CRONOPLE!$F$14,$M179,AU$13)="",10^12,OFFSET(CRONOPLE!$F$14,$M179,AU$13))))</f>
        <v>1000000000000</v>
      </c>
      <c r="AV179" s="215">
        <f ca="1">IF($D179&lt;&gt;"Serviço",0,IF(AND(AUTOEVENTO="Manual",$M179=1),0,IF(OFFSET(CRONOPLE!$F$14,$M179,AV$13)="",10^12,OFFSET(CRONOPLE!$F$14,$M179,AV$13))))</f>
        <v>1000000000000</v>
      </c>
      <c r="AX179" s="216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6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6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6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6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6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6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6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6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6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37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5" t="str">
        <f ca="1">OFFSET(ORÇAMENTO!N$15,ROW(D180)-ROW(D$15),0)</f>
        <v>Serviço</v>
      </c>
      <c r="E180" s="205" t="str">
        <f ca="1">OFFSET(ORÇAMENTO!O$15,ROW(E180)-ROW(E$15),0)</f>
        <v>-</v>
      </c>
      <c r="F180" s="206" t="str">
        <f ca="1">OFFSET(ORÇAMENTO!R$15,ROW(F180)-ROW(F$15),0)</f>
        <v>(abra o arquivo 'Referência 05-2023.xls)</v>
      </c>
      <c r="G180" s="207" t="str">
        <f ca="1">IF($D180&lt;&gt;"Serviço","",OFFSET(ORÇAMENTO!S$15,ROW(G180)-ROW(G$15),0))</f>
        <v>-</v>
      </c>
      <c r="H180" s="151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1"/>
      <c r="K180" s="208"/>
      <c r="L180" s="209" t="s">
        <v>254</v>
      </c>
      <c r="M180" s="210">
        <f ca="1">IF($D180&lt;&gt;"Serviço","",IF(AUTOEVENTO="manual",$A180,IF(ISERROR(MATCH($A180,$A$15:OFFSET($A180,-1,0),0)),MAX($M$15:OFFSET(M180,-1,0))+1,INDEX($M$15:OFFSET(M180,-1,0),MATCH($A180,$A$15:OFFSET($A180,-1,0),0)))))</f>
        <v>5</v>
      </c>
      <c r="N180" s="211" t="str">
        <f ca="1">IF($D180&lt;&gt;"Serviço","",IF(AUTOEVENTO="Manual",IF($A180=0,"&lt;-- defina o número do agrupador",OFFSET(EVENTOS!$D$14,$A180,0)),OFFSET($F$15,$A180,0)))</f>
        <v>PINTURAS E TEXTURAS</v>
      </c>
      <c r="O180" s="212"/>
      <c r="Q180" s="212"/>
      <c r="R180" s="213"/>
      <c r="S180" s="213"/>
      <c r="T180" s="213"/>
      <c r="U180" s="213"/>
      <c r="V180" s="213"/>
      <c r="W180" s="213"/>
      <c r="X180" s="213"/>
      <c r="Y180" s="213"/>
      <c r="Z180" s="214"/>
      <c r="AB180" s="592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3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3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3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3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3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3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3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3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4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5">
        <f ca="1">IF($D180&lt;&gt;"Serviço",0,IF(AND(AUTOEVENTO="Manual",$M180=1),0,IF(OFFSET(CRONOPLE!$F$14,$M180,AM$13)="",10^12,OFFSET(CRONOPLE!$F$14,$M180,AM$13))))</f>
        <v>2</v>
      </c>
      <c r="AN180" s="215">
        <f ca="1">IF($D180&lt;&gt;"Serviço",0,IF(AND(AUTOEVENTO="Manual",$M180=1),0,IF(OFFSET(CRONOPLE!$F$14,$M180,AN$13)="",10^12,OFFSET(CRONOPLE!$F$14,$M180,AN$13))))</f>
        <v>2</v>
      </c>
      <c r="AO180" s="215">
        <f ca="1">IF($D180&lt;&gt;"Serviço",0,IF(AND(AUTOEVENTO="Manual",$M180=1),0,IF(OFFSET(CRONOPLE!$F$14,$M180,AO$13)="",10^12,OFFSET(CRONOPLE!$F$14,$M180,AO$13))))</f>
        <v>3</v>
      </c>
      <c r="AP180" s="215">
        <f ca="1">IF($D180&lt;&gt;"Serviço",0,IF(AND(AUTOEVENTO="Manual",$M180=1),0,IF(OFFSET(CRONOPLE!$F$14,$M180,AP$13)="",10^12,OFFSET(CRONOPLE!$F$14,$M180,AP$13))))</f>
        <v>1000000000000</v>
      </c>
      <c r="AQ180" s="215">
        <f ca="1">IF($D180&lt;&gt;"Serviço",0,IF(AND(AUTOEVENTO="Manual",$M180=1),0,IF(OFFSET(CRONOPLE!$F$14,$M180,AQ$13)="",10^12,OFFSET(CRONOPLE!$F$14,$M180,AQ$13))))</f>
        <v>1000000000000</v>
      </c>
      <c r="AR180" s="215">
        <f ca="1">IF($D180&lt;&gt;"Serviço",0,IF(AND(AUTOEVENTO="Manual",$M180=1),0,IF(OFFSET(CRONOPLE!$F$14,$M180,AR$13)="",10^12,OFFSET(CRONOPLE!$F$14,$M180,AR$13))))</f>
        <v>1000000000000</v>
      </c>
      <c r="AS180" s="215">
        <f ca="1">IF($D180&lt;&gt;"Serviço",0,IF(AND(AUTOEVENTO="Manual",$M180=1),0,IF(OFFSET(CRONOPLE!$F$14,$M180,AS$13)="",10^12,OFFSET(CRONOPLE!$F$14,$M180,AS$13))))</f>
        <v>1000000000000</v>
      </c>
      <c r="AT180" s="215">
        <f ca="1">IF($D180&lt;&gt;"Serviço",0,IF(AND(AUTOEVENTO="Manual",$M180=1),0,IF(OFFSET(CRONOPLE!$F$14,$M180,AT$13)="",10^12,OFFSET(CRONOPLE!$F$14,$M180,AT$13))))</f>
        <v>1000000000000</v>
      </c>
      <c r="AU180" s="215">
        <f ca="1">IF($D180&lt;&gt;"Serviço",0,IF(AND(AUTOEVENTO="Manual",$M180=1),0,IF(OFFSET(CRONOPLE!$F$14,$M180,AU$13)="",10^12,OFFSET(CRONOPLE!$F$14,$M180,AU$13))))</f>
        <v>1000000000000</v>
      </c>
      <c r="AV180" s="215">
        <f ca="1">IF($D180&lt;&gt;"Serviço",0,IF(AND(AUTOEVENTO="Manual",$M180=1),0,IF(OFFSET(CRONOPLE!$F$14,$M180,AV$13)="",10^12,OFFSET(CRONOPLE!$F$14,$M180,AV$13))))</f>
        <v>1000000000000</v>
      </c>
      <c r="AX180" s="216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6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6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6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6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6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6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6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6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6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37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5" t="str">
        <f ca="1">OFFSET(ORÇAMENTO!N$15,ROW(D181)-ROW(D$15),0)</f>
        <v>Serviço</v>
      </c>
      <c r="E181" s="205" t="str">
        <f ca="1">OFFSET(ORÇAMENTO!O$15,ROW(E181)-ROW(E$15),0)</f>
        <v>-</v>
      </c>
      <c r="F181" s="206" t="str">
        <f ca="1">OFFSET(ORÇAMENTO!R$15,ROW(F181)-ROW(F$15),0)</f>
        <v>(abra o arquivo 'Referência 05-2023.xls)</v>
      </c>
      <c r="G181" s="207" t="str">
        <f ca="1">IF($D181&lt;&gt;"Serviço","",OFFSET(ORÇAMENTO!S$15,ROW(G181)-ROW(G$15),0))</f>
        <v>-</v>
      </c>
      <c r="H181" s="151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1"/>
      <c r="K181" s="208"/>
      <c r="L181" s="209" t="s">
        <v>254</v>
      </c>
      <c r="M181" s="210">
        <f ca="1">IF($D181&lt;&gt;"Serviço","",IF(AUTOEVENTO="manual",$A181,IF(ISERROR(MATCH($A181,$A$15:OFFSET($A181,-1,0),0)),MAX($M$15:OFFSET(M181,-1,0))+1,INDEX($M$15:OFFSET(M181,-1,0),MATCH($A181,$A$15:OFFSET($A181,-1,0),0)))))</f>
        <v>5</v>
      </c>
      <c r="N181" s="211" t="str">
        <f ca="1">IF($D181&lt;&gt;"Serviço","",IF(AUTOEVENTO="Manual",IF($A181=0,"&lt;-- defina o número do agrupador",OFFSET(EVENTOS!$D$14,$A181,0)),OFFSET($F$15,$A181,0)))</f>
        <v>PINTURAS E TEXTURAS</v>
      </c>
      <c r="O181" s="212"/>
      <c r="Q181" s="212"/>
      <c r="R181" s="213"/>
      <c r="S181" s="213"/>
      <c r="T181" s="213"/>
      <c r="U181" s="213"/>
      <c r="V181" s="213"/>
      <c r="W181" s="213"/>
      <c r="X181" s="213"/>
      <c r="Y181" s="213"/>
      <c r="Z181" s="214"/>
      <c r="AB181" s="592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3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3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3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3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3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3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3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3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4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5">
        <f ca="1">IF($D181&lt;&gt;"Serviço",0,IF(AND(AUTOEVENTO="Manual",$M181=1),0,IF(OFFSET(CRONOPLE!$F$14,$M181,AM$13)="",10^12,OFFSET(CRONOPLE!$F$14,$M181,AM$13))))</f>
        <v>2</v>
      </c>
      <c r="AN181" s="215">
        <f ca="1">IF($D181&lt;&gt;"Serviço",0,IF(AND(AUTOEVENTO="Manual",$M181=1),0,IF(OFFSET(CRONOPLE!$F$14,$M181,AN$13)="",10^12,OFFSET(CRONOPLE!$F$14,$M181,AN$13))))</f>
        <v>2</v>
      </c>
      <c r="AO181" s="215">
        <f ca="1">IF($D181&lt;&gt;"Serviço",0,IF(AND(AUTOEVENTO="Manual",$M181=1),0,IF(OFFSET(CRONOPLE!$F$14,$M181,AO$13)="",10^12,OFFSET(CRONOPLE!$F$14,$M181,AO$13))))</f>
        <v>3</v>
      </c>
      <c r="AP181" s="215">
        <f ca="1">IF($D181&lt;&gt;"Serviço",0,IF(AND(AUTOEVENTO="Manual",$M181=1),0,IF(OFFSET(CRONOPLE!$F$14,$M181,AP$13)="",10^12,OFFSET(CRONOPLE!$F$14,$M181,AP$13))))</f>
        <v>1000000000000</v>
      </c>
      <c r="AQ181" s="215">
        <f ca="1">IF($D181&lt;&gt;"Serviço",0,IF(AND(AUTOEVENTO="Manual",$M181=1),0,IF(OFFSET(CRONOPLE!$F$14,$M181,AQ$13)="",10^12,OFFSET(CRONOPLE!$F$14,$M181,AQ$13))))</f>
        <v>1000000000000</v>
      </c>
      <c r="AR181" s="215">
        <f ca="1">IF($D181&lt;&gt;"Serviço",0,IF(AND(AUTOEVENTO="Manual",$M181=1),0,IF(OFFSET(CRONOPLE!$F$14,$M181,AR$13)="",10^12,OFFSET(CRONOPLE!$F$14,$M181,AR$13))))</f>
        <v>1000000000000</v>
      </c>
      <c r="AS181" s="215">
        <f ca="1">IF($D181&lt;&gt;"Serviço",0,IF(AND(AUTOEVENTO="Manual",$M181=1),0,IF(OFFSET(CRONOPLE!$F$14,$M181,AS$13)="",10^12,OFFSET(CRONOPLE!$F$14,$M181,AS$13))))</f>
        <v>1000000000000</v>
      </c>
      <c r="AT181" s="215">
        <f ca="1">IF($D181&lt;&gt;"Serviço",0,IF(AND(AUTOEVENTO="Manual",$M181=1),0,IF(OFFSET(CRONOPLE!$F$14,$M181,AT$13)="",10^12,OFFSET(CRONOPLE!$F$14,$M181,AT$13))))</f>
        <v>1000000000000</v>
      </c>
      <c r="AU181" s="215">
        <f ca="1">IF($D181&lt;&gt;"Serviço",0,IF(AND(AUTOEVENTO="Manual",$M181=1),0,IF(OFFSET(CRONOPLE!$F$14,$M181,AU$13)="",10^12,OFFSET(CRONOPLE!$F$14,$M181,AU$13))))</f>
        <v>1000000000000</v>
      </c>
      <c r="AV181" s="215">
        <f ca="1">IF($D181&lt;&gt;"Serviço",0,IF(AND(AUTOEVENTO="Manual",$M181=1),0,IF(OFFSET(CRONOPLE!$F$14,$M181,AV$13)="",10^12,OFFSET(CRONOPLE!$F$14,$M181,AV$13))))</f>
        <v>1000000000000</v>
      </c>
      <c r="AX181" s="216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6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6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6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6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6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6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6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6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6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37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5" t="str">
        <f ca="1">OFFSET(ORÇAMENTO!N$15,ROW(D182)-ROW(D$15),0)</f>
        <v>Serviço</v>
      </c>
      <c r="E182" s="205" t="str">
        <f ca="1">OFFSET(ORÇAMENTO!O$15,ROW(E182)-ROW(E$15),0)</f>
        <v>-</v>
      </c>
      <c r="F182" s="206" t="str">
        <f ca="1">OFFSET(ORÇAMENTO!R$15,ROW(F182)-ROW(F$15),0)</f>
        <v>(abra o arquivo 'Referência 05-2023.xls)</v>
      </c>
      <c r="G182" s="207" t="str">
        <f ca="1">IF($D182&lt;&gt;"Serviço","",OFFSET(ORÇAMENTO!S$15,ROW(G182)-ROW(G$15),0))</f>
        <v>-</v>
      </c>
      <c r="H182" s="151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1"/>
      <c r="K182" s="208"/>
      <c r="L182" s="209" t="s">
        <v>254</v>
      </c>
      <c r="M182" s="210">
        <f ca="1">IF($D182&lt;&gt;"Serviço","",IF(AUTOEVENTO="manual",$A182,IF(ISERROR(MATCH($A182,$A$15:OFFSET($A182,-1,0),0)),MAX($M$15:OFFSET(M182,-1,0))+1,INDEX($M$15:OFFSET(M182,-1,0),MATCH($A182,$A$15:OFFSET($A182,-1,0),0)))))</f>
        <v>5</v>
      </c>
      <c r="N182" s="211" t="str">
        <f ca="1">IF($D182&lt;&gt;"Serviço","",IF(AUTOEVENTO="Manual",IF($A182=0,"&lt;-- defina o número do agrupador",OFFSET(EVENTOS!$D$14,$A182,0)),OFFSET($F$15,$A182,0)))</f>
        <v>PINTURAS E TEXTURAS</v>
      </c>
      <c r="O182" s="212"/>
      <c r="Q182" s="212"/>
      <c r="R182" s="213"/>
      <c r="S182" s="213"/>
      <c r="T182" s="213"/>
      <c r="U182" s="213"/>
      <c r="V182" s="213"/>
      <c r="W182" s="213"/>
      <c r="X182" s="213"/>
      <c r="Y182" s="213"/>
      <c r="Z182" s="214"/>
      <c r="AB182" s="592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3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3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3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3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3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3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3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3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4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5">
        <f ca="1">IF($D182&lt;&gt;"Serviço",0,IF(AND(AUTOEVENTO="Manual",$M182=1),0,IF(OFFSET(CRONOPLE!$F$14,$M182,AM$13)="",10^12,OFFSET(CRONOPLE!$F$14,$M182,AM$13))))</f>
        <v>2</v>
      </c>
      <c r="AN182" s="215">
        <f ca="1">IF($D182&lt;&gt;"Serviço",0,IF(AND(AUTOEVENTO="Manual",$M182=1),0,IF(OFFSET(CRONOPLE!$F$14,$M182,AN$13)="",10^12,OFFSET(CRONOPLE!$F$14,$M182,AN$13))))</f>
        <v>2</v>
      </c>
      <c r="AO182" s="215">
        <f ca="1">IF($D182&lt;&gt;"Serviço",0,IF(AND(AUTOEVENTO="Manual",$M182=1),0,IF(OFFSET(CRONOPLE!$F$14,$M182,AO$13)="",10^12,OFFSET(CRONOPLE!$F$14,$M182,AO$13))))</f>
        <v>3</v>
      </c>
      <c r="AP182" s="215">
        <f ca="1">IF($D182&lt;&gt;"Serviço",0,IF(AND(AUTOEVENTO="Manual",$M182=1),0,IF(OFFSET(CRONOPLE!$F$14,$M182,AP$13)="",10^12,OFFSET(CRONOPLE!$F$14,$M182,AP$13))))</f>
        <v>1000000000000</v>
      </c>
      <c r="AQ182" s="215">
        <f ca="1">IF($D182&lt;&gt;"Serviço",0,IF(AND(AUTOEVENTO="Manual",$M182=1),0,IF(OFFSET(CRONOPLE!$F$14,$M182,AQ$13)="",10^12,OFFSET(CRONOPLE!$F$14,$M182,AQ$13))))</f>
        <v>1000000000000</v>
      </c>
      <c r="AR182" s="215">
        <f ca="1">IF($D182&lt;&gt;"Serviço",0,IF(AND(AUTOEVENTO="Manual",$M182=1),0,IF(OFFSET(CRONOPLE!$F$14,$M182,AR$13)="",10^12,OFFSET(CRONOPLE!$F$14,$M182,AR$13))))</f>
        <v>1000000000000</v>
      </c>
      <c r="AS182" s="215">
        <f ca="1">IF($D182&lt;&gt;"Serviço",0,IF(AND(AUTOEVENTO="Manual",$M182=1),0,IF(OFFSET(CRONOPLE!$F$14,$M182,AS$13)="",10^12,OFFSET(CRONOPLE!$F$14,$M182,AS$13))))</f>
        <v>1000000000000</v>
      </c>
      <c r="AT182" s="215">
        <f ca="1">IF($D182&lt;&gt;"Serviço",0,IF(AND(AUTOEVENTO="Manual",$M182=1),0,IF(OFFSET(CRONOPLE!$F$14,$M182,AT$13)="",10^12,OFFSET(CRONOPLE!$F$14,$M182,AT$13))))</f>
        <v>1000000000000</v>
      </c>
      <c r="AU182" s="215">
        <f ca="1">IF($D182&lt;&gt;"Serviço",0,IF(AND(AUTOEVENTO="Manual",$M182=1),0,IF(OFFSET(CRONOPLE!$F$14,$M182,AU$13)="",10^12,OFFSET(CRONOPLE!$F$14,$M182,AU$13))))</f>
        <v>1000000000000</v>
      </c>
      <c r="AV182" s="215">
        <f ca="1">IF($D182&lt;&gt;"Serviço",0,IF(AND(AUTOEVENTO="Manual",$M182=1),0,IF(OFFSET(CRONOPLE!$F$14,$M182,AV$13)="",10^12,OFFSET(CRONOPLE!$F$14,$M182,AV$13))))</f>
        <v>1000000000000</v>
      </c>
      <c r="AX182" s="216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6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6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6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6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6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6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6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6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6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37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5" t="str">
        <f ca="1">OFFSET(ORÇAMENTO!N$15,ROW(D183)-ROW(D$15),0)</f>
        <v>Serviço</v>
      </c>
      <c r="E183" s="205" t="str">
        <f ca="1">OFFSET(ORÇAMENTO!O$15,ROW(E183)-ROW(E$15),0)</f>
        <v>-</v>
      </c>
      <c r="F183" s="206" t="str">
        <f ca="1">OFFSET(ORÇAMENTO!R$15,ROW(F183)-ROW(F$15),0)</f>
        <v>(abra o arquivo 'Referência 05-2023.xls)</v>
      </c>
      <c r="G183" s="207" t="str">
        <f ca="1">IF($D183&lt;&gt;"Serviço","",OFFSET(ORÇAMENTO!S$15,ROW(G183)-ROW(G$15),0))</f>
        <v>-</v>
      </c>
      <c r="H183" s="151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1"/>
      <c r="K183" s="208"/>
      <c r="L183" s="209" t="s">
        <v>254</v>
      </c>
      <c r="M183" s="210">
        <f ca="1">IF($D183&lt;&gt;"Serviço","",IF(AUTOEVENTO="manual",$A183,IF(ISERROR(MATCH($A183,$A$15:OFFSET($A183,-1,0),0)),MAX($M$15:OFFSET(M183,-1,0))+1,INDEX($M$15:OFFSET(M183,-1,0),MATCH($A183,$A$15:OFFSET($A183,-1,0),0)))))</f>
        <v>5</v>
      </c>
      <c r="N183" s="211" t="str">
        <f ca="1">IF($D183&lt;&gt;"Serviço","",IF(AUTOEVENTO="Manual",IF($A183=0,"&lt;-- defina o número do agrupador",OFFSET(EVENTOS!$D$14,$A183,0)),OFFSET($F$15,$A183,0)))</f>
        <v>PINTURAS E TEXTURAS</v>
      </c>
      <c r="O183" s="212"/>
      <c r="Q183" s="212"/>
      <c r="R183" s="213"/>
      <c r="S183" s="213"/>
      <c r="T183" s="213"/>
      <c r="U183" s="213"/>
      <c r="V183" s="213"/>
      <c r="W183" s="213"/>
      <c r="X183" s="213"/>
      <c r="Y183" s="213"/>
      <c r="Z183" s="214"/>
      <c r="AB183" s="592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3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3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3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3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3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3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3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3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4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5">
        <f ca="1">IF($D183&lt;&gt;"Serviço",0,IF(AND(AUTOEVENTO="Manual",$M183=1),0,IF(OFFSET(CRONOPLE!$F$14,$M183,AM$13)="",10^12,OFFSET(CRONOPLE!$F$14,$M183,AM$13))))</f>
        <v>2</v>
      </c>
      <c r="AN183" s="215">
        <f ca="1">IF($D183&lt;&gt;"Serviço",0,IF(AND(AUTOEVENTO="Manual",$M183=1),0,IF(OFFSET(CRONOPLE!$F$14,$M183,AN$13)="",10^12,OFFSET(CRONOPLE!$F$14,$M183,AN$13))))</f>
        <v>2</v>
      </c>
      <c r="AO183" s="215">
        <f ca="1">IF($D183&lt;&gt;"Serviço",0,IF(AND(AUTOEVENTO="Manual",$M183=1),0,IF(OFFSET(CRONOPLE!$F$14,$M183,AO$13)="",10^12,OFFSET(CRONOPLE!$F$14,$M183,AO$13))))</f>
        <v>3</v>
      </c>
      <c r="AP183" s="215">
        <f ca="1">IF($D183&lt;&gt;"Serviço",0,IF(AND(AUTOEVENTO="Manual",$M183=1),0,IF(OFFSET(CRONOPLE!$F$14,$M183,AP$13)="",10^12,OFFSET(CRONOPLE!$F$14,$M183,AP$13))))</f>
        <v>1000000000000</v>
      </c>
      <c r="AQ183" s="215">
        <f ca="1">IF($D183&lt;&gt;"Serviço",0,IF(AND(AUTOEVENTO="Manual",$M183=1),0,IF(OFFSET(CRONOPLE!$F$14,$M183,AQ$13)="",10^12,OFFSET(CRONOPLE!$F$14,$M183,AQ$13))))</f>
        <v>1000000000000</v>
      </c>
      <c r="AR183" s="215">
        <f ca="1">IF($D183&lt;&gt;"Serviço",0,IF(AND(AUTOEVENTO="Manual",$M183=1),0,IF(OFFSET(CRONOPLE!$F$14,$M183,AR$13)="",10^12,OFFSET(CRONOPLE!$F$14,$M183,AR$13))))</f>
        <v>1000000000000</v>
      </c>
      <c r="AS183" s="215">
        <f ca="1">IF($D183&lt;&gt;"Serviço",0,IF(AND(AUTOEVENTO="Manual",$M183=1),0,IF(OFFSET(CRONOPLE!$F$14,$M183,AS$13)="",10^12,OFFSET(CRONOPLE!$F$14,$M183,AS$13))))</f>
        <v>1000000000000</v>
      </c>
      <c r="AT183" s="215">
        <f ca="1">IF($D183&lt;&gt;"Serviço",0,IF(AND(AUTOEVENTO="Manual",$M183=1),0,IF(OFFSET(CRONOPLE!$F$14,$M183,AT$13)="",10^12,OFFSET(CRONOPLE!$F$14,$M183,AT$13))))</f>
        <v>1000000000000</v>
      </c>
      <c r="AU183" s="215">
        <f ca="1">IF($D183&lt;&gt;"Serviço",0,IF(AND(AUTOEVENTO="Manual",$M183=1),0,IF(OFFSET(CRONOPLE!$F$14,$M183,AU$13)="",10^12,OFFSET(CRONOPLE!$F$14,$M183,AU$13))))</f>
        <v>1000000000000</v>
      </c>
      <c r="AV183" s="215">
        <f ca="1">IF($D183&lt;&gt;"Serviço",0,IF(AND(AUTOEVENTO="Manual",$M183=1),0,IF(OFFSET(CRONOPLE!$F$14,$M183,AV$13)="",10^12,OFFSET(CRONOPLE!$F$14,$M183,AV$13))))</f>
        <v>1000000000000</v>
      </c>
      <c r="AX183" s="216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6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6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6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6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6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6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6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6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6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37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5" t="str">
        <f ca="1">OFFSET(ORÇAMENTO!N$15,ROW(D184)-ROW(D$15),0)</f>
        <v>Serviço</v>
      </c>
      <c r="E184" s="205" t="str">
        <f ca="1">OFFSET(ORÇAMENTO!O$15,ROW(E184)-ROW(E$15),0)</f>
        <v>-</v>
      </c>
      <c r="F184" s="206" t="str">
        <f ca="1">OFFSET(ORÇAMENTO!R$15,ROW(F184)-ROW(F$15),0)</f>
        <v>(abra o arquivo 'Referência 05-2023.xls)</v>
      </c>
      <c r="G184" s="207" t="str">
        <f ca="1">IF($D184&lt;&gt;"Serviço","",OFFSET(ORÇAMENTO!S$15,ROW(G184)-ROW(G$15),0))</f>
        <v>-</v>
      </c>
      <c r="H184" s="151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1"/>
      <c r="K184" s="208"/>
      <c r="L184" s="209" t="s">
        <v>254</v>
      </c>
      <c r="M184" s="210">
        <f ca="1">IF($D184&lt;&gt;"Serviço","",IF(AUTOEVENTO="manual",$A184,IF(ISERROR(MATCH($A184,$A$15:OFFSET($A184,-1,0),0)),MAX($M$15:OFFSET(M184,-1,0))+1,INDEX($M$15:OFFSET(M184,-1,0),MATCH($A184,$A$15:OFFSET($A184,-1,0),0)))))</f>
        <v>5</v>
      </c>
      <c r="N184" s="211" t="str">
        <f ca="1">IF($D184&lt;&gt;"Serviço","",IF(AUTOEVENTO="Manual",IF($A184=0,"&lt;-- defina o número do agrupador",OFFSET(EVENTOS!$D$14,$A184,0)),OFFSET($F$15,$A184,0)))</f>
        <v>PINTURAS E TEXTURAS</v>
      </c>
      <c r="O184" s="212"/>
      <c r="Q184" s="212"/>
      <c r="R184" s="213"/>
      <c r="S184" s="213"/>
      <c r="T184" s="213"/>
      <c r="U184" s="213"/>
      <c r="V184" s="213"/>
      <c r="W184" s="213"/>
      <c r="X184" s="213"/>
      <c r="Y184" s="213"/>
      <c r="Z184" s="214"/>
      <c r="AB184" s="592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3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3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3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3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3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3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3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3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4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5">
        <f ca="1">IF($D184&lt;&gt;"Serviço",0,IF(AND(AUTOEVENTO="Manual",$M184=1),0,IF(OFFSET(CRONOPLE!$F$14,$M184,AM$13)="",10^12,OFFSET(CRONOPLE!$F$14,$M184,AM$13))))</f>
        <v>2</v>
      </c>
      <c r="AN184" s="215">
        <f ca="1">IF($D184&lt;&gt;"Serviço",0,IF(AND(AUTOEVENTO="Manual",$M184=1),0,IF(OFFSET(CRONOPLE!$F$14,$M184,AN$13)="",10^12,OFFSET(CRONOPLE!$F$14,$M184,AN$13))))</f>
        <v>2</v>
      </c>
      <c r="AO184" s="215">
        <f ca="1">IF($D184&lt;&gt;"Serviço",0,IF(AND(AUTOEVENTO="Manual",$M184=1),0,IF(OFFSET(CRONOPLE!$F$14,$M184,AO$13)="",10^12,OFFSET(CRONOPLE!$F$14,$M184,AO$13))))</f>
        <v>3</v>
      </c>
      <c r="AP184" s="215">
        <f ca="1">IF($D184&lt;&gt;"Serviço",0,IF(AND(AUTOEVENTO="Manual",$M184=1),0,IF(OFFSET(CRONOPLE!$F$14,$M184,AP$13)="",10^12,OFFSET(CRONOPLE!$F$14,$M184,AP$13))))</f>
        <v>1000000000000</v>
      </c>
      <c r="AQ184" s="215">
        <f ca="1">IF($D184&lt;&gt;"Serviço",0,IF(AND(AUTOEVENTO="Manual",$M184=1),0,IF(OFFSET(CRONOPLE!$F$14,$M184,AQ$13)="",10^12,OFFSET(CRONOPLE!$F$14,$M184,AQ$13))))</f>
        <v>1000000000000</v>
      </c>
      <c r="AR184" s="215">
        <f ca="1">IF($D184&lt;&gt;"Serviço",0,IF(AND(AUTOEVENTO="Manual",$M184=1),0,IF(OFFSET(CRONOPLE!$F$14,$M184,AR$13)="",10^12,OFFSET(CRONOPLE!$F$14,$M184,AR$13))))</f>
        <v>1000000000000</v>
      </c>
      <c r="AS184" s="215">
        <f ca="1">IF($D184&lt;&gt;"Serviço",0,IF(AND(AUTOEVENTO="Manual",$M184=1),0,IF(OFFSET(CRONOPLE!$F$14,$M184,AS$13)="",10^12,OFFSET(CRONOPLE!$F$14,$M184,AS$13))))</f>
        <v>1000000000000</v>
      </c>
      <c r="AT184" s="215">
        <f ca="1">IF($D184&lt;&gt;"Serviço",0,IF(AND(AUTOEVENTO="Manual",$M184=1),0,IF(OFFSET(CRONOPLE!$F$14,$M184,AT$13)="",10^12,OFFSET(CRONOPLE!$F$14,$M184,AT$13))))</f>
        <v>1000000000000</v>
      </c>
      <c r="AU184" s="215">
        <f ca="1">IF($D184&lt;&gt;"Serviço",0,IF(AND(AUTOEVENTO="Manual",$M184=1),0,IF(OFFSET(CRONOPLE!$F$14,$M184,AU$13)="",10^12,OFFSET(CRONOPLE!$F$14,$M184,AU$13))))</f>
        <v>1000000000000</v>
      </c>
      <c r="AV184" s="215">
        <f ca="1">IF($D184&lt;&gt;"Serviço",0,IF(AND(AUTOEVENTO="Manual",$M184=1),0,IF(OFFSET(CRONOPLE!$F$14,$M184,AV$13)="",10^12,OFFSET(CRONOPLE!$F$14,$M184,AV$13))))</f>
        <v>1000000000000</v>
      </c>
      <c r="AX184" s="216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6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6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6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6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6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6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6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6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6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37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5" t="str">
        <f ca="1">OFFSET(ORÇAMENTO!N$15,ROW(D185)-ROW(D$15),0)</f>
        <v>Serviço</v>
      </c>
      <c r="E185" s="205" t="str">
        <f ca="1">OFFSET(ORÇAMENTO!O$15,ROW(E185)-ROW(E$15),0)</f>
        <v>-</v>
      </c>
      <c r="F185" s="206" t="str">
        <f ca="1">OFFSET(ORÇAMENTO!R$15,ROW(F185)-ROW(F$15),0)</f>
        <v>(abra o arquivo 'Referência 05-2023.xls)</v>
      </c>
      <c r="G185" s="207" t="str">
        <f ca="1">IF($D185&lt;&gt;"Serviço","",OFFSET(ORÇAMENTO!S$15,ROW(G185)-ROW(G$15),0))</f>
        <v>-</v>
      </c>
      <c r="H185" s="151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1"/>
      <c r="K185" s="208"/>
      <c r="L185" s="209" t="s">
        <v>254</v>
      </c>
      <c r="M185" s="210">
        <f ca="1">IF($D185&lt;&gt;"Serviço","",IF(AUTOEVENTO="manual",$A185,IF(ISERROR(MATCH($A185,$A$15:OFFSET($A185,-1,0),0)),MAX($M$15:OFFSET(M185,-1,0))+1,INDEX($M$15:OFFSET(M185,-1,0),MATCH($A185,$A$15:OFFSET($A185,-1,0),0)))))</f>
        <v>5</v>
      </c>
      <c r="N185" s="211" t="str">
        <f ca="1">IF($D185&lt;&gt;"Serviço","",IF(AUTOEVENTO="Manual",IF($A185=0,"&lt;-- defina o número do agrupador",OFFSET(EVENTOS!$D$14,$A185,0)),OFFSET($F$15,$A185,0)))</f>
        <v>PINTURAS E TEXTURAS</v>
      </c>
      <c r="O185" s="212"/>
      <c r="Q185" s="212"/>
      <c r="R185" s="213"/>
      <c r="S185" s="213"/>
      <c r="T185" s="213"/>
      <c r="U185" s="213"/>
      <c r="V185" s="213"/>
      <c r="W185" s="213"/>
      <c r="X185" s="213"/>
      <c r="Y185" s="213"/>
      <c r="Z185" s="214"/>
      <c r="AB185" s="592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3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3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3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3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3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3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3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3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4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5">
        <f ca="1">IF($D185&lt;&gt;"Serviço",0,IF(AND(AUTOEVENTO="Manual",$M185=1),0,IF(OFFSET(CRONOPLE!$F$14,$M185,AM$13)="",10^12,OFFSET(CRONOPLE!$F$14,$M185,AM$13))))</f>
        <v>2</v>
      </c>
      <c r="AN185" s="215">
        <f ca="1">IF($D185&lt;&gt;"Serviço",0,IF(AND(AUTOEVENTO="Manual",$M185=1),0,IF(OFFSET(CRONOPLE!$F$14,$M185,AN$13)="",10^12,OFFSET(CRONOPLE!$F$14,$M185,AN$13))))</f>
        <v>2</v>
      </c>
      <c r="AO185" s="215">
        <f ca="1">IF($D185&lt;&gt;"Serviço",0,IF(AND(AUTOEVENTO="Manual",$M185=1),0,IF(OFFSET(CRONOPLE!$F$14,$M185,AO$13)="",10^12,OFFSET(CRONOPLE!$F$14,$M185,AO$13))))</f>
        <v>3</v>
      </c>
      <c r="AP185" s="215">
        <f ca="1">IF($D185&lt;&gt;"Serviço",0,IF(AND(AUTOEVENTO="Manual",$M185=1),0,IF(OFFSET(CRONOPLE!$F$14,$M185,AP$13)="",10^12,OFFSET(CRONOPLE!$F$14,$M185,AP$13))))</f>
        <v>1000000000000</v>
      </c>
      <c r="AQ185" s="215">
        <f ca="1">IF($D185&lt;&gt;"Serviço",0,IF(AND(AUTOEVENTO="Manual",$M185=1),0,IF(OFFSET(CRONOPLE!$F$14,$M185,AQ$13)="",10^12,OFFSET(CRONOPLE!$F$14,$M185,AQ$13))))</f>
        <v>1000000000000</v>
      </c>
      <c r="AR185" s="215">
        <f ca="1">IF($D185&lt;&gt;"Serviço",0,IF(AND(AUTOEVENTO="Manual",$M185=1),0,IF(OFFSET(CRONOPLE!$F$14,$M185,AR$13)="",10^12,OFFSET(CRONOPLE!$F$14,$M185,AR$13))))</f>
        <v>1000000000000</v>
      </c>
      <c r="AS185" s="215">
        <f ca="1">IF($D185&lt;&gt;"Serviço",0,IF(AND(AUTOEVENTO="Manual",$M185=1),0,IF(OFFSET(CRONOPLE!$F$14,$M185,AS$13)="",10^12,OFFSET(CRONOPLE!$F$14,$M185,AS$13))))</f>
        <v>1000000000000</v>
      </c>
      <c r="AT185" s="215">
        <f ca="1">IF($D185&lt;&gt;"Serviço",0,IF(AND(AUTOEVENTO="Manual",$M185=1),0,IF(OFFSET(CRONOPLE!$F$14,$M185,AT$13)="",10^12,OFFSET(CRONOPLE!$F$14,$M185,AT$13))))</f>
        <v>1000000000000</v>
      </c>
      <c r="AU185" s="215">
        <f ca="1">IF($D185&lt;&gt;"Serviço",0,IF(AND(AUTOEVENTO="Manual",$M185=1),0,IF(OFFSET(CRONOPLE!$F$14,$M185,AU$13)="",10^12,OFFSET(CRONOPLE!$F$14,$M185,AU$13))))</f>
        <v>1000000000000</v>
      </c>
      <c r="AV185" s="215">
        <f ca="1">IF($D185&lt;&gt;"Serviço",0,IF(AND(AUTOEVENTO="Manual",$M185=1),0,IF(OFFSET(CRONOPLE!$F$14,$M185,AV$13)="",10^12,OFFSET(CRONOPLE!$F$14,$M185,AV$13))))</f>
        <v>1000000000000</v>
      </c>
      <c r="AX185" s="216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6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6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6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6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6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6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6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6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6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37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5" t="str">
        <f ca="1">OFFSET(ORÇAMENTO!N$15,ROW(D186)-ROW(D$15),0)</f>
        <v>Serviço</v>
      </c>
      <c r="E186" s="205" t="str">
        <f ca="1">OFFSET(ORÇAMENTO!O$15,ROW(E186)-ROW(E$15),0)</f>
        <v>-</v>
      </c>
      <c r="F186" s="206" t="str">
        <f ca="1">OFFSET(ORÇAMENTO!R$15,ROW(F186)-ROW(F$15),0)</f>
        <v>(abra o arquivo 'Referência 05-2023.xls)</v>
      </c>
      <c r="G186" s="207" t="str">
        <f ca="1">IF($D186&lt;&gt;"Serviço","",OFFSET(ORÇAMENTO!S$15,ROW(G186)-ROW(G$15),0))</f>
        <v>-</v>
      </c>
      <c r="H186" s="151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1"/>
      <c r="K186" s="208"/>
      <c r="L186" s="209" t="s">
        <v>254</v>
      </c>
      <c r="M186" s="210">
        <f ca="1">IF($D186&lt;&gt;"Serviço","",IF(AUTOEVENTO="manual",$A186,IF(ISERROR(MATCH($A186,$A$15:OFFSET($A186,-1,0),0)),MAX($M$15:OFFSET(M186,-1,0))+1,INDEX($M$15:OFFSET(M186,-1,0),MATCH($A186,$A$15:OFFSET($A186,-1,0),0)))))</f>
        <v>5</v>
      </c>
      <c r="N186" s="211" t="str">
        <f ca="1">IF($D186&lt;&gt;"Serviço","",IF(AUTOEVENTO="Manual",IF($A186=0,"&lt;-- defina o número do agrupador",OFFSET(EVENTOS!$D$14,$A186,0)),OFFSET($F$15,$A186,0)))</f>
        <v>PINTURAS E TEXTURAS</v>
      </c>
      <c r="O186" s="212"/>
      <c r="Q186" s="212"/>
      <c r="R186" s="213"/>
      <c r="S186" s="213"/>
      <c r="T186" s="213"/>
      <c r="U186" s="213"/>
      <c r="V186" s="213"/>
      <c r="W186" s="213"/>
      <c r="X186" s="213"/>
      <c r="Y186" s="213"/>
      <c r="Z186" s="214"/>
      <c r="AB186" s="592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3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3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3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3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3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3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3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3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4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5">
        <f ca="1">IF($D186&lt;&gt;"Serviço",0,IF(AND(AUTOEVENTO="Manual",$M186=1),0,IF(OFFSET(CRONOPLE!$F$14,$M186,AM$13)="",10^12,OFFSET(CRONOPLE!$F$14,$M186,AM$13))))</f>
        <v>2</v>
      </c>
      <c r="AN186" s="215">
        <f ca="1">IF($D186&lt;&gt;"Serviço",0,IF(AND(AUTOEVENTO="Manual",$M186=1),0,IF(OFFSET(CRONOPLE!$F$14,$M186,AN$13)="",10^12,OFFSET(CRONOPLE!$F$14,$M186,AN$13))))</f>
        <v>2</v>
      </c>
      <c r="AO186" s="215">
        <f ca="1">IF($D186&lt;&gt;"Serviço",0,IF(AND(AUTOEVENTO="Manual",$M186=1),0,IF(OFFSET(CRONOPLE!$F$14,$M186,AO$13)="",10^12,OFFSET(CRONOPLE!$F$14,$M186,AO$13))))</f>
        <v>3</v>
      </c>
      <c r="AP186" s="215">
        <f ca="1">IF($D186&lt;&gt;"Serviço",0,IF(AND(AUTOEVENTO="Manual",$M186=1),0,IF(OFFSET(CRONOPLE!$F$14,$M186,AP$13)="",10^12,OFFSET(CRONOPLE!$F$14,$M186,AP$13))))</f>
        <v>1000000000000</v>
      </c>
      <c r="AQ186" s="215">
        <f ca="1">IF($D186&lt;&gt;"Serviço",0,IF(AND(AUTOEVENTO="Manual",$M186=1),0,IF(OFFSET(CRONOPLE!$F$14,$M186,AQ$13)="",10^12,OFFSET(CRONOPLE!$F$14,$M186,AQ$13))))</f>
        <v>1000000000000</v>
      </c>
      <c r="AR186" s="215">
        <f ca="1">IF($D186&lt;&gt;"Serviço",0,IF(AND(AUTOEVENTO="Manual",$M186=1),0,IF(OFFSET(CRONOPLE!$F$14,$M186,AR$13)="",10^12,OFFSET(CRONOPLE!$F$14,$M186,AR$13))))</f>
        <v>1000000000000</v>
      </c>
      <c r="AS186" s="215">
        <f ca="1">IF($D186&lt;&gt;"Serviço",0,IF(AND(AUTOEVENTO="Manual",$M186=1),0,IF(OFFSET(CRONOPLE!$F$14,$M186,AS$13)="",10^12,OFFSET(CRONOPLE!$F$14,$M186,AS$13))))</f>
        <v>1000000000000</v>
      </c>
      <c r="AT186" s="215">
        <f ca="1">IF($D186&lt;&gt;"Serviço",0,IF(AND(AUTOEVENTO="Manual",$M186=1),0,IF(OFFSET(CRONOPLE!$F$14,$M186,AT$13)="",10^12,OFFSET(CRONOPLE!$F$14,$M186,AT$13))))</f>
        <v>1000000000000</v>
      </c>
      <c r="AU186" s="215">
        <f ca="1">IF($D186&lt;&gt;"Serviço",0,IF(AND(AUTOEVENTO="Manual",$M186=1),0,IF(OFFSET(CRONOPLE!$F$14,$M186,AU$13)="",10^12,OFFSET(CRONOPLE!$F$14,$M186,AU$13))))</f>
        <v>1000000000000</v>
      </c>
      <c r="AV186" s="215">
        <f ca="1">IF($D186&lt;&gt;"Serviço",0,IF(AND(AUTOEVENTO="Manual",$M186=1),0,IF(OFFSET(CRONOPLE!$F$14,$M186,AV$13)="",10^12,OFFSET(CRONOPLE!$F$14,$M186,AV$13))))</f>
        <v>1000000000000</v>
      </c>
      <c r="AX186" s="216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6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6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6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6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6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6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6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6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6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37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5" t="str">
        <f ca="1">OFFSET(ORÇAMENTO!N$15,ROW(D187)-ROW(D$15),0)</f>
        <v>Serviço</v>
      </c>
      <c r="E187" s="205" t="str">
        <f ca="1">OFFSET(ORÇAMENTO!O$15,ROW(E187)-ROW(E$15),0)</f>
        <v>-</v>
      </c>
      <c r="F187" s="206" t="str">
        <f ca="1">OFFSET(ORÇAMENTO!R$15,ROW(F187)-ROW(F$15),0)</f>
        <v>(abra o arquivo 'Referência 05-2023.xls)</v>
      </c>
      <c r="G187" s="207" t="str">
        <f ca="1">IF($D187&lt;&gt;"Serviço","",OFFSET(ORÇAMENTO!S$15,ROW(G187)-ROW(G$15),0))</f>
        <v>-</v>
      </c>
      <c r="H187" s="151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1"/>
      <c r="K187" s="208"/>
      <c r="L187" s="209" t="s">
        <v>254</v>
      </c>
      <c r="M187" s="210">
        <f ca="1">IF($D187&lt;&gt;"Serviço","",IF(AUTOEVENTO="manual",$A187,IF(ISERROR(MATCH($A187,$A$15:OFFSET($A187,-1,0),0)),MAX($M$15:OFFSET(M187,-1,0))+1,INDEX($M$15:OFFSET(M187,-1,0),MATCH($A187,$A$15:OFFSET($A187,-1,0),0)))))</f>
        <v>5</v>
      </c>
      <c r="N187" s="211" t="str">
        <f ca="1">IF($D187&lt;&gt;"Serviço","",IF(AUTOEVENTO="Manual",IF($A187=0,"&lt;-- defina o número do agrupador",OFFSET(EVENTOS!$D$14,$A187,0)),OFFSET($F$15,$A187,0)))</f>
        <v>PINTURAS E TEXTURAS</v>
      </c>
      <c r="O187" s="212"/>
      <c r="Q187" s="212"/>
      <c r="R187" s="213"/>
      <c r="S187" s="213"/>
      <c r="T187" s="213"/>
      <c r="U187" s="213"/>
      <c r="V187" s="213"/>
      <c r="W187" s="213"/>
      <c r="X187" s="213"/>
      <c r="Y187" s="213"/>
      <c r="Z187" s="214"/>
      <c r="AB187" s="592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3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3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3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3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3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3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3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3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4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5">
        <f ca="1">IF($D187&lt;&gt;"Serviço",0,IF(AND(AUTOEVENTO="Manual",$M187=1),0,IF(OFFSET(CRONOPLE!$F$14,$M187,AM$13)="",10^12,OFFSET(CRONOPLE!$F$14,$M187,AM$13))))</f>
        <v>2</v>
      </c>
      <c r="AN187" s="215">
        <f ca="1">IF($D187&lt;&gt;"Serviço",0,IF(AND(AUTOEVENTO="Manual",$M187=1),0,IF(OFFSET(CRONOPLE!$F$14,$M187,AN$13)="",10^12,OFFSET(CRONOPLE!$F$14,$M187,AN$13))))</f>
        <v>2</v>
      </c>
      <c r="AO187" s="215">
        <f ca="1">IF($D187&lt;&gt;"Serviço",0,IF(AND(AUTOEVENTO="Manual",$M187=1),0,IF(OFFSET(CRONOPLE!$F$14,$M187,AO$13)="",10^12,OFFSET(CRONOPLE!$F$14,$M187,AO$13))))</f>
        <v>3</v>
      </c>
      <c r="AP187" s="215">
        <f ca="1">IF($D187&lt;&gt;"Serviço",0,IF(AND(AUTOEVENTO="Manual",$M187=1),0,IF(OFFSET(CRONOPLE!$F$14,$M187,AP$13)="",10^12,OFFSET(CRONOPLE!$F$14,$M187,AP$13))))</f>
        <v>1000000000000</v>
      </c>
      <c r="AQ187" s="215">
        <f ca="1">IF($D187&lt;&gt;"Serviço",0,IF(AND(AUTOEVENTO="Manual",$M187=1),0,IF(OFFSET(CRONOPLE!$F$14,$M187,AQ$13)="",10^12,OFFSET(CRONOPLE!$F$14,$M187,AQ$13))))</f>
        <v>1000000000000</v>
      </c>
      <c r="AR187" s="215">
        <f ca="1">IF($D187&lt;&gt;"Serviço",0,IF(AND(AUTOEVENTO="Manual",$M187=1),0,IF(OFFSET(CRONOPLE!$F$14,$M187,AR$13)="",10^12,OFFSET(CRONOPLE!$F$14,$M187,AR$13))))</f>
        <v>1000000000000</v>
      </c>
      <c r="AS187" s="215">
        <f ca="1">IF($D187&lt;&gt;"Serviço",0,IF(AND(AUTOEVENTO="Manual",$M187=1),0,IF(OFFSET(CRONOPLE!$F$14,$M187,AS$13)="",10^12,OFFSET(CRONOPLE!$F$14,$M187,AS$13))))</f>
        <v>1000000000000</v>
      </c>
      <c r="AT187" s="215">
        <f ca="1">IF($D187&lt;&gt;"Serviço",0,IF(AND(AUTOEVENTO="Manual",$M187=1),0,IF(OFFSET(CRONOPLE!$F$14,$M187,AT$13)="",10^12,OFFSET(CRONOPLE!$F$14,$M187,AT$13))))</f>
        <v>1000000000000</v>
      </c>
      <c r="AU187" s="215">
        <f ca="1">IF($D187&lt;&gt;"Serviço",0,IF(AND(AUTOEVENTO="Manual",$M187=1),0,IF(OFFSET(CRONOPLE!$F$14,$M187,AU$13)="",10^12,OFFSET(CRONOPLE!$F$14,$M187,AU$13))))</f>
        <v>1000000000000</v>
      </c>
      <c r="AV187" s="215">
        <f ca="1">IF($D187&lt;&gt;"Serviço",0,IF(AND(AUTOEVENTO="Manual",$M187=1),0,IF(OFFSET(CRONOPLE!$F$14,$M187,AV$13)="",10^12,OFFSET(CRONOPLE!$F$14,$M187,AV$13))))</f>
        <v>1000000000000</v>
      </c>
      <c r="AX187" s="216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6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6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6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6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6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6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6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6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6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37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5" t="str">
        <f ca="1">OFFSET(ORÇAMENTO!N$15,ROW(D188)-ROW(D$15),0)</f>
        <v>Serviço</v>
      </c>
      <c r="E188" s="205" t="str">
        <f ca="1">OFFSET(ORÇAMENTO!O$15,ROW(E188)-ROW(E$15),0)</f>
        <v>-</v>
      </c>
      <c r="F188" s="206" t="str">
        <f ca="1">OFFSET(ORÇAMENTO!R$15,ROW(F188)-ROW(F$15),0)</f>
        <v>(abra o arquivo 'Referência 05-2023.xls)</v>
      </c>
      <c r="G188" s="207" t="str">
        <f ca="1">IF($D188&lt;&gt;"Serviço","",OFFSET(ORÇAMENTO!S$15,ROW(G188)-ROW(G$15),0))</f>
        <v>-</v>
      </c>
      <c r="H188" s="151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1"/>
      <c r="K188" s="208"/>
      <c r="L188" s="209" t="s">
        <v>254</v>
      </c>
      <c r="M188" s="210">
        <f ca="1">IF($D188&lt;&gt;"Serviço","",IF(AUTOEVENTO="manual",$A188,IF(ISERROR(MATCH($A188,$A$15:OFFSET($A188,-1,0),0)),MAX($M$15:OFFSET(M188,-1,0))+1,INDEX($M$15:OFFSET(M188,-1,0),MATCH($A188,$A$15:OFFSET($A188,-1,0),0)))))</f>
        <v>5</v>
      </c>
      <c r="N188" s="211" t="str">
        <f ca="1">IF($D188&lt;&gt;"Serviço","",IF(AUTOEVENTO="Manual",IF($A188=0,"&lt;-- defina o número do agrupador",OFFSET(EVENTOS!$D$14,$A188,0)),OFFSET($F$15,$A188,0)))</f>
        <v>PINTURAS E TEXTURAS</v>
      </c>
      <c r="O188" s="212"/>
      <c r="Q188" s="212"/>
      <c r="R188" s="213"/>
      <c r="S188" s="213"/>
      <c r="T188" s="213"/>
      <c r="U188" s="213"/>
      <c r="V188" s="213"/>
      <c r="W188" s="213"/>
      <c r="X188" s="213"/>
      <c r="Y188" s="213"/>
      <c r="Z188" s="214"/>
      <c r="AB188" s="592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3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3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3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3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3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3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3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3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4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5">
        <f ca="1">IF($D188&lt;&gt;"Serviço",0,IF(AND(AUTOEVENTO="Manual",$M188=1),0,IF(OFFSET(CRONOPLE!$F$14,$M188,AM$13)="",10^12,OFFSET(CRONOPLE!$F$14,$M188,AM$13))))</f>
        <v>2</v>
      </c>
      <c r="AN188" s="215">
        <f ca="1">IF($D188&lt;&gt;"Serviço",0,IF(AND(AUTOEVENTO="Manual",$M188=1),0,IF(OFFSET(CRONOPLE!$F$14,$M188,AN$13)="",10^12,OFFSET(CRONOPLE!$F$14,$M188,AN$13))))</f>
        <v>2</v>
      </c>
      <c r="AO188" s="215">
        <f ca="1">IF($D188&lt;&gt;"Serviço",0,IF(AND(AUTOEVENTO="Manual",$M188=1),0,IF(OFFSET(CRONOPLE!$F$14,$M188,AO$13)="",10^12,OFFSET(CRONOPLE!$F$14,$M188,AO$13))))</f>
        <v>3</v>
      </c>
      <c r="AP188" s="215">
        <f ca="1">IF($D188&lt;&gt;"Serviço",0,IF(AND(AUTOEVENTO="Manual",$M188=1),0,IF(OFFSET(CRONOPLE!$F$14,$M188,AP$13)="",10^12,OFFSET(CRONOPLE!$F$14,$M188,AP$13))))</f>
        <v>1000000000000</v>
      </c>
      <c r="AQ188" s="215">
        <f ca="1">IF($D188&lt;&gt;"Serviço",0,IF(AND(AUTOEVENTO="Manual",$M188=1),0,IF(OFFSET(CRONOPLE!$F$14,$M188,AQ$13)="",10^12,OFFSET(CRONOPLE!$F$14,$M188,AQ$13))))</f>
        <v>1000000000000</v>
      </c>
      <c r="AR188" s="215">
        <f ca="1">IF($D188&lt;&gt;"Serviço",0,IF(AND(AUTOEVENTO="Manual",$M188=1),0,IF(OFFSET(CRONOPLE!$F$14,$M188,AR$13)="",10^12,OFFSET(CRONOPLE!$F$14,$M188,AR$13))))</f>
        <v>1000000000000</v>
      </c>
      <c r="AS188" s="215">
        <f ca="1">IF($D188&lt;&gt;"Serviço",0,IF(AND(AUTOEVENTO="Manual",$M188=1),0,IF(OFFSET(CRONOPLE!$F$14,$M188,AS$13)="",10^12,OFFSET(CRONOPLE!$F$14,$M188,AS$13))))</f>
        <v>1000000000000</v>
      </c>
      <c r="AT188" s="215">
        <f ca="1">IF($D188&lt;&gt;"Serviço",0,IF(AND(AUTOEVENTO="Manual",$M188=1),0,IF(OFFSET(CRONOPLE!$F$14,$M188,AT$13)="",10^12,OFFSET(CRONOPLE!$F$14,$M188,AT$13))))</f>
        <v>1000000000000</v>
      </c>
      <c r="AU188" s="215">
        <f ca="1">IF($D188&lt;&gt;"Serviço",0,IF(AND(AUTOEVENTO="Manual",$M188=1),0,IF(OFFSET(CRONOPLE!$F$14,$M188,AU$13)="",10^12,OFFSET(CRONOPLE!$F$14,$M188,AU$13))))</f>
        <v>1000000000000</v>
      </c>
      <c r="AV188" s="215">
        <f ca="1">IF($D188&lt;&gt;"Serviço",0,IF(AND(AUTOEVENTO="Manual",$M188=1),0,IF(OFFSET(CRONOPLE!$F$14,$M188,AV$13)="",10^12,OFFSET(CRONOPLE!$F$14,$M188,AV$13))))</f>
        <v>1000000000000</v>
      </c>
      <c r="AX188" s="216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6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6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6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6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6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6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6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6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6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37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5" t="str">
        <f ca="1">OFFSET(ORÇAMENTO!N$15,ROW(D189)-ROW(D$15),0)</f>
        <v>Serviço</v>
      </c>
      <c r="E189" s="205" t="str">
        <f ca="1">OFFSET(ORÇAMENTO!O$15,ROW(E189)-ROW(E$15),0)</f>
        <v>-</v>
      </c>
      <c r="F189" s="206" t="str">
        <f ca="1">OFFSET(ORÇAMENTO!R$15,ROW(F189)-ROW(F$15),0)</f>
        <v>(abra o arquivo 'Referência 05-2023.xls)</v>
      </c>
      <c r="G189" s="207" t="str">
        <f ca="1">IF($D189&lt;&gt;"Serviço","",OFFSET(ORÇAMENTO!S$15,ROW(G189)-ROW(G$15),0))</f>
        <v>-</v>
      </c>
      <c r="H189" s="151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1"/>
      <c r="K189" s="208"/>
      <c r="L189" s="209" t="s">
        <v>254</v>
      </c>
      <c r="M189" s="210">
        <f ca="1">IF($D189&lt;&gt;"Serviço","",IF(AUTOEVENTO="manual",$A189,IF(ISERROR(MATCH($A189,$A$15:OFFSET($A189,-1,0),0)),MAX($M$15:OFFSET(M189,-1,0))+1,INDEX($M$15:OFFSET(M189,-1,0),MATCH($A189,$A$15:OFFSET($A189,-1,0),0)))))</f>
        <v>5</v>
      </c>
      <c r="N189" s="211" t="str">
        <f ca="1">IF($D189&lt;&gt;"Serviço","",IF(AUTOEVENTO="Manual",IF($A189=0,"&lt;-- defina o número do agrupador",OFFSET(EVENTOS!$D$14,$A189,0)),OFFSET($F$15,$A189,0)))</f>
        <v>PINTURAS E TEXTURAS</v>
      </c>
      <c r="O189" s="212"/>
      <c r="Q189" s="212"/>
      <c r="R189" s="213"/>
      <c r="S189" s="213"/>
      <c r="T189" s="213"/>
      <c r="U189" s="213"/>
      <c r="V189" s="213"/>
      <c r="W189" s="213"/>
      <c r="X189" s="213"/>
      <c r="Y189" s="213"/>
      <c r="Z189" s="214"/>
      <c r="AB189" s="592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3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3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3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3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3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3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3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3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4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5">
        <f ca="1">IF($D189&lt;&gt;"Serviço",0,IF(AND(AUTOEVENTO="Manual",$M189=1),0,IF(OFFSET(CRONOPLE!$F$14,$M189,AM$13)="",10^12,OFFSET(CRONOPLE!$F$14,$M189,AM$13))))</f>
        <v>2</v>
      </c>
      <c r="AN189" s="215">
        <f ca="1">IF($D189&lt;&gt;"Serviço",0,IF(AND(AUTOEVENTO="Manual",$M189=1),0,IF(OFFSET(CRONOPLE!$F$14,$M189,AN$13)="",10^12,OFFSET(CRONOPLE!$F$14,$M189,AN$13))))</f>
        <v>2</v>
      </c>
      <c r="AO189" s="215">
        <f ca="1">IF($D189&lt;&gt;"Serviço",0,IF(AND(AUTOEVENTO="Manual",$M189=1),0,IF(OFFSET(CRONOPLE!$F$14,$M189,AO$13)="",10^12,OFFSET(CRONOPLE!$F$14,$M189,AO$13))))</f>
        <v>3</v>
      </c>
      <c r="AP189" s="215">
        <f ca="1">IF($D189&lt;&gt;"Serviço",0,IF(AND(AUTOEVENTO="Manual",$M189=1),0,IF(OFFSET(CRONOPLE!$F$14,$M189,AP$13)="",10^12,OFFSET(CRONOPLE!$F$14,$M189,AP$13))))</f>
        <v>1000000000000</v>
      </c>
      <c r="AQ189" s="215">
        <f ca="1">IF($D189&lt;&gt;"Serviço",0,IF(AND(AUTOEVENTO="Manual",$M189=1),0,IF(OFFSET(CRONOPLE!$F$14,$M189,AQ$13)="",10^12,OFFSET(CRONOPLE!$F$14,$M189,AQ$13))))</f>
        <v>1000000000000</v>
      </c>
      <c r="AR189" s="215">
        <f ca="1">IF($D189&lt;&gt;"Serviço",0,IF(AND(AUTOEVENTO="Manual",$M189=1),0,IF(OFFSET(CRONOPLE!$F$14,$M189,AR$13)="",10^12,OFFSET(CRONOPLE!$F$14,$M189,AR$13))))</f>
        <v>1000000000000</v>
      </c>
      <c r="AS189" s="215">
        <f ca="1">IF($D189&lt;&gt;"Serviço",0,IF(AND(AUTOEVENTO="Manual",$M189=1),0,IF(OFFSET(CRONOPLE!$F$14,$M189,AS$13)="",10^12,OFFSET(CRONOPLE!$F$14,$M189,AS$13))))</f>
        <v>1000000000000</v>
      </c>
      <c r="AT189" s="215">
        <f ca="1">IF($D189&lt;&gt;"Serviço",0,IF(AND(AUTOEVENTO="Manual",$M189=1),0,IF(OFFSET(CRONOPLE!$F$14,$M189,AT$13)="",10^12,OFFSET(CRONOPLE!$F$14,$M189,AT$13))))</f>
        <v>1000000000000</v>
      </c>
      <c r="AU189" s="215">
        <f ca="1">IF($D189&lt;&gt;"Serviço",0,IF(AND(AUTOEVENTO="Manual",$M189=1),0,IF(OFFSET(CRONOPLE!$F$14,$M189,AU$13)="",10^12,OFFSET(CRONOPLE!$F$14,$M189,AU$13))))</f>
        <v>1000000000000</v>
      </c>
      <c r="AV189" s="215">
        <f ca="1">IF($D189&lt;&gt;"Serviço",0,IF(AND(AUTOEVENTO="Manual",$M189=1),0,IF(OFFSET(CRONOPLE!$F$14,$M189,AV$13)="",10^12,OFFSET(CRONOPLE!$F$14,$M189,AV$13))))</f>
        <v>1000000000000</v>
      </c>
      <c r="AX189" s="216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6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6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6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6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6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6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6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6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6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37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5" t="str">
        <f ca="1">OFFSET(ORÇAMENTO!N$15,ROW(D190)-ROW(D$15),0)</f>
        <v>Serviço</v>
      </c>
      <c r="E190" s="205" t="str">
        <f ca="1">OFFSET(ORÇAMENTO!O$15,ROW(E190)-ROW(E$15),0)</f>
        <v>-</v>
      </c>
      <c r="F190" s="206" t="str">
        <f ca="1">OFFSET(ORÇAMENTO!R$15,ROW(F190)-ROW(F$15),0)</f>
        <v>(abra o arquivo 'Referência 05-2023.xls)</v>
      </c>
      <c r="G190" s="207" t="str">
        <f ca="1">IF($D190&lt;&gt;"Serviço","",OFFSET(ORÇAMENTO!S$15,ROW(G190)-ROW(G$15),0))</f>
        <v>-</v>
      </c>
      <c r="H190" s="151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1"/>
      <c r="K190" s="208"/>
      <c r="L190" s="209" t="s">
        <v>254</v>
      </c>
      <c r="M190" s="210">
        <f ca="1">IF($D190&lt;&gt;"Serviço","",IF(AUTOEVENTO="manual",$A190,IF(ISERROR(MATCH($A190,$A$15:OFFSET($A190,-1,0),0)),MAX($M$15:OFFSET(M190,-1,0))+1,INDEX($M$15:OFFSET(M190,-1,0),MATCH($A190,$A$15:OFFSET($A190,-1,0),0)))))</f>
        <v>5</v>
      </c>
      <c r="N190" s="211" t="str">
        <f ca="1">IF($D190&lt;&gt;"Serviço","",IF(AUTOEVENTO="Manual",IF($A190=0,"&lt;-- defina o número do agrupador",OFFSET(EVENTOS!$D$14,$A190,0)),OFFSET($F$15,$A190,0)))</f>
        <v>PINTURAS E TEXTURAS</v>
      </c>
      <c r="O190" s="212"/>
      <c r="Q190" s="212"/>
      <c r="R190" s="213"/>
      <c r="S190" s="213"/>
      <c r="T190" s="213"/>
      <c r="U190" s="213"/>
      <c r="V190" s="213"/>
      <c r="W190" s="213"/>
      <c r="X190" s="213"/>
      <c r="Y190" s="213"/>
      <c r="Z190" s="214"/>
      <c r="AB190" s="592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3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3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3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3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3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3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3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3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4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5">
        <f ca="1">IF($D190&lt;&gt;"Serviço",0,IF(AND(AUTOEVENTO="Manual",$M190=1),0,IF(OFFSET(CRONOPLE!$F$14,$M190,AM$13)="",10^12,OFFSET(CRONOPLE!$F$14,$M190,AM$13))))</f>
        <v>2</v>
      </c>
      <c r="AN190" s="215">
        <f ca="1">IF($D190&lt;&gt;"Serviço",0,IF(AND(AUTOEVENTO="Manual",$M190=1),0,IF(OFFSET(CRONOPLE!$F$14,$M190,AN$13)="",10^12,OFFSET(CRONOPLE!$F$14,$M190,AN$13))))</f>
        <v>2</v>
      </c>
      <c r="AO190" s="215">
        <f ca="1">IF($D190&lt;&gt;"Serviço",0,IF(AND(AUTOEVENTO="Manual",$M190=1),0,IF(OFFSET(CRONOPLE!$F$14,$M190,AO$13)="",10^12,OFFSET(CRONOPLE!$F$14,$M190,AO$13))))</f>
        <v>3</v>
      </c>
      <c r="AP190" s="215">
        <f ca="1">IF($D190&lt;&gt;"Serviço",0,IF(AND(AUTOEVENTO="Manual",$M190=1),0,IF(OFFSET(CRONOPLE!$F$14,$M190,AP$13)="",10^12,OFFSET(CRONOPLE!$F$14,$M190,AP$13))))</f>
        <v>1000000000000</v>
      </c>
      <c r="AQ190" s="215">
        <f ca="1">IF($D190&lt;&gt;"Serviço",0,IF(AND(AUTOEVENTO="Manual",$M190=1),0,IF(OFFSET(CRONOPLE!$F$14,$M190,AQ$13)="",10^12,OFFSET(CRONOPLE!$F$14,$M190,AQ$13))))</f>
        <v>1000000000000</v>
      </c>
      <c r="AR190" s="215">
        <f ca="1">IF($D190&lt;&gt;"Serviço",0,IF(AND(AUTOEVENTO="Manual",$M190=1),0,IF(OFFSET(CRONOPLE!$F$14,$M190,AR$13)="",10^12,OFFSET(CRONOPLE!$F$14,$M190,AR$13))))</f>
        <v>1000000000000</v>
      </c>
      <c r="AS190" s="215">
        <f ca="1">IF($D190&lt;&gt;"Serviço",0,IF(AND(AUTOEVENTO="Manual",$M190=1),0,IF(OFFSET(CRONOPLE!$F$14,$M190,AS$13)="",10^12,OFFSET(CRONOPLE!$F$14,$M190,AS$13))))</f>
        <v>1000000000000</v>
      </c>
      <c r="AT190" s="215">
        <f ca="1">IF($D190&lt;&gt;"Serviço",0,IF(AND(AUTOEVENTO="Manual",$M190=1),0,IF(OFFSET(CRONOPLE!$F$14,$M190,AT$13)="",10^12,OFFSET(CRONOPLE!$F$14,$M190,AT$13))))</f>
        <v>1000000000000</v>
      </c>
      <c r="AU190" s="215">
        <f ca="1">IF($D190&lt;&gt;"Serviço",0,IF(AND(AUTOEVENTO="Manual",$M190=1),0,IF(OFFSET(CRONOPLE!$F$14,$M190,AU$13)="",10^12,OFFSET(CRONOPLE!$F$14,$M190,AU$13))))</f>
        <v>1000000000000</v>
      </c>
      <c r="AV190" s="215">
        <f ca="1">IF($D190&lt;&gt;"Serviço",0,IF(AND(AUTOEVENTO="Manual",$M190=1),0,IF(OFFSET(CRONOPLE!$F$14,$M190,AV$13)="",10^12,OFFSET(CRONOPLE!$F$14,$M190,AV$13))))</f>
        <v>1000000000000</v>
      </c>
      <c r="AX190" s="216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6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6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6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6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6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6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6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6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6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37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5" t="str">
        <f ca="1">OFFSET(ORÇAMENTO!N$15,ROW(D191)-ROW(D$15),0)</f>
        <v>Serviço</v>
      </c>
      <c r="E191" s="205" t="str">
        <f ca="1">OFFSET(ORÇAMENTO!O$15,ROW(E191)-ROW(E$15),0)</f>
        <v>-</v>
      </c>
      <c r="F191" s="206" t="str">
        <f ca="1">OFFSET(ORÇAMENTO!R$15,ROW(F191)-ROW(F$15),0)</f>
        <v>(abra o arquivo 'Referência 05-2023.xls)</v>
      </c>
      <c r="G191" s="207" t="str">
        <f ca="1">IF($D191&lt;&gt;"Serviço","",OFFSET(ORÇAMENTO!S$15,ROW(G191)-ROW(G$15),0))</f>
        <v>-</v>
      </c>
      <c r="H191" s="151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1"/>
      <c r="K191" s="208"/>
      <c r="L191" s="209" t="s">
        <v>254</v>
      </c>
      <c r="M191" s="210">
        <f ca="1">IF($D191&lt;&gt;"Serviço","",IF(AUTOEVENTO="manual",$A191,IF(ISERROR(MATCH($A191,$A$15:OFFSET($A191,-1,0),0)),MAX($M$15:OFFSET(M191,-1,0))+1,INDEX($M$15:OFFSET(M191,-1,0),MATCH($A191,$A$15:OFFSET($A191,-1,0),0)))))</f>
        <v>5</v>
      </c>
      <c r="N191" s="211" t="str">
        <f ca="1">IF($D191&lt;&gt;"Serviço","",IF(AUTOEVENTO="Manual",IF($A191=0,"&lt;-- defina o número do agrupador",OFFSET(EVENTOS!$D$14,$A191,0)),OFFSET($F$15,$A191,0)))</f>
        <v>PINTURAS E TEXTURAS</v>
      </c>
      <c r="O191" s="212"/>
      <c r="Q191" s="212"/>
      <c r="R191" s="213"/>
      <c r="S191" s="213"/>
      <c r="T191" s="213"/>
      <c r="U191" s="213"/>
      <c r="V191" s="213"/>
      <c r="W191" s="213"/>
      <c r="X191" s="213"/>
      <c r="Y191" s="213"/>
      <c r="Z191" s="214"/>
      <c r="AB191" s="592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3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3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3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3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3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3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3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3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4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5">
        <f ca="1">IF($D191&lt;&gt;"Serviço",0,IF(AND(AUTOEVENTO="Manual",$M191=1),0,IF(OFFSET(CRONOPLE!$F$14,$M191,AM$13)="",10^12,OFFSET(CRONOPLE!$F$14,$M191,AM$13))))</f>
        <v>2</v>
      </c>
      <c r="AN191" s="215">
        <f ca="1">IF($D191&lt;&gt;"Serviço",0,IF(AND(AUTOEVENTO="Manual",$M191=1),0,IF(OFFSET(CRONOPLE!$F$14,$M191,AN$13)="",10^12,OFFSET(CRONOPLE!$F$14,$M191,AN$13))))</f>
        <v>2</v>
      </c>
      <c r="AO191" s="215">
        <f ca="1">IF($D191&lt;&gt;"Serviço",0,IF(AND(AUTOEVENTO="Manual",$M191=1),0,IF(OFFSET(CRONOPLE!$F$14,$M191,AO$13)="",10^12,OFFSET(CRONOPLE!$F$14,$M191,AO$13))))</f>
        <v>3</v>
      </c>
      <c r="AP191" s="215">
        <f ca="1">IF($D191&lt;&gt;"Serviço",0,IF(AND(AUTOEVENTO="Manual",$M191=1),0,IF(OFFSET(CRONOPLE!$F$14,$M191,AP$13)="",10^12,OFFSET(CRONOPLE!$F$14,$M191,AP$13))))</f>
        <v>1000000000000</v>
      </c>
      <c r="AQ191" s="215">
        <f ca="1">IF($D191&lt;&gt;"Serviço",0,IF(AND(AUTOEVENTO="Manual",$M191=1),0,IF(OFFSET(CRONOPLE!$F$14,$M191,AQ$13)="",10^12,OFFSET(CRONOPLE!$F$14,$M191,AQ$13))))</f>
        <v>1000000000000</v>
      </c>
      <c r="AR191" s="215">
        <f ca="1">IF($D191&lt;&gt;"Serviço",0,IF(AND(AUTOEVENTO="Manual",$M191=1),0,IF(OFFSET(CRONOPLE!$F$14,$M191,AR$13)="",10^12,OFFSET(CRONOPLE!$F$14,$M191,AR$13))))</f>
        <v>1000000000000</v>
      </c>
      <c r="AS191" s="215">
        <f ca="1">IF($D191&lt;&gt;"Serviço",0,IF(AND(AUTOEVENTO="Manual",$M191=1),0,IF(OFFSET(CRONOPLE!$F$14,$M191,AS$13)="",10^12,OFFSET(CRONOPLE!$F$14,$M191,AS$13))))</f>
        <v>1000000000000</v>
      </c>
      <c r="AT191" s="215">
        <f ca="1">IF($D191&lt;&gt;"Serviço",0,IF(AND(AUTOEVENTO="Manual",$M191=1),0,IF(OFFSET(CRONOPLE!$F$14,$M191,AT$13)="",10^12,OFFSET(CRONOPLE!$F$14,$M191,AT$13))))</f>
        <v>1000000000000</v>
      </c>
      <c r="AU191" s="215">
        <f ca="1">IF($D191&lt;&gt;"Serviço",0,IF(AND(AUTOEVENTO="Manual",$M191=1),0,IF(OFFSET(CRONOPLE!$F$14,$M191,AU$13)="",10^12,OFFSET(CRONOPLE!$F$14,$M191,AU$13))))</f>
        <v>1000000000000</v>
      </c>
      <c r="AV191" s="215">
        <f ca="1">IF($D191&lt;&gt;"Serviço",0,IF(AND(AUTOEVENTO="Manual",$M191=1),0,IF(OFFSET(CRONOPLE!$F$14,$M191,AV$13)="",10^12,OFFSET(CRONOPLE!$F$14,$M191,AV$13))))</f>
        <v>1000000000000</v>
      </c>
      <c r="AX191" s="216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6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6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6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6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6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6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6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6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6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37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5" t="str">
        <f ca="1">OFFSET(ORÇAMENTO!N$15,ROW(D192)-ROW(D$15),0)</f>
        <v>Serviço</v>
      </c>
      <c r="E192" s="205" t="str">
        <f ca="1">OFFSET(ORÇAMENTO!O$15,ROW(E192)-ROW(E$15),0)</f>
        <v>-</v>
      </c>
      <c r="F192" s="206" t="str">
        <f ca="1">OFFSET(ORÇAMENTO!R$15,ROW(F192)-ROW(F$15),0)</f>
        <v>(abra o arquivo 'Referência 05-2023.xls)</v>
      </c>
      <c r="G192" s="207" t="str">
        <f ca="1">IF($D192&lt;&gt;"Serviço","",OFFSET(ORÇAMENTO!S$15,ROW(G192)-ROW(G$15),0))</f>
        <v>-</v>
      </c>
      <c r="H192" s="151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1"/>
      <c r="K192" s="208"/>
      <c r="L192" s="209" t="s">
        <v>254</v>
      </c>
      <c r="M192" s="210">
        <f ca="1">IF($D192&lt;&gt;"Serviço","",IF(AUTOEVENTO="manual",$A192,IF(ISERROR(MATCH($A192,$A$15:OFFSET($A192,-1,0),0)),MAX($M$15:OFFSET(M192,-1,0))+1,INDEX($M$15:OFFSET(M192,-1,0),MATCH($A192,$A$15:OFFSET($A192,-1,0),0)))))</f>
        <v>5</v>
      </c>
      <c r="N192" s="211" t="str">
        <f ca="1">IF($D192&lt;&gt;"Serviço","",IF(AUTOEVENTO="Manual",IF($A192=0,"&lt;-- defina o número do agrupador",OFFSET(EVENTOS!$D$14,$A192,0)),OFFSET($F$15,$A192,0)))</f>
        <v>PINTURAS E TEXTURAS</v>
      </c>
      <c r="O192" s="212"/>
      <c r="Q192" s="212"/>
      <c r="R192" s="213"/>
      <c r="S192" s="213"/>
      <c r="T192" s="213"/>
      <c r="U192" s="213"/>
      <c r="V192" s="213"/>
      <c r="W192" s="213"/>
      <c r="X192" s="213"/>
      <c r="Y192" s="213"/>
      <c r="Z192" s="214"/>
      <c r="AB192" s="592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3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3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3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3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3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3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3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3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4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5">
        <f ca="1">IF($D192&lt;&gt;"Serviço",0,IF(AND(AUTOEVENTO="Manual",$M192=1),0,IF(OFFSET(CRONOPLE!$F$14,$M192,AM$13)="",10^12,OFFSET(CRONOPLE!$F$14,$M192,AM$13))))</f>
        <v>2</v>
      </c>
      <c r="AN192" s="215">
        <f ca="1">IF($D192&lt;&gt;"Serviço",0,IF(AND(AUTOEVENTO="Manual",$M192=1),0,IF(OFFSET(CRONOPLE!$F$14,$M192,AN$13)="",10^12,OFFSET(CRONOPLE!$F$14,$M192,AN$13))))</f>
        <v>2</v>
      </c>
      <c r="AO192" s="215">
        <f ca="1">IF($D192&lt;&gt;"Serviço",0,IF(AND(AUTOEVENTO="Manual",$M192=1),0,IF(OFFSET(CRONOPLE!$F$14,$M192,AO$13)="",10^12,OFFSET(CRONOPLE!$F$14,$M192,AO$13))))</f>
        <v>3</v>
      </c>
      <c r="AP192" s="215">
        <f ca="1">IF($D192&lt;&gt;"Serviço",0,IF(AND(AUTOEVENTO="Manual",$M192=1),0,IF(OFFSET(CRONOPLE!$F$14,$M192,AP$13)="",10^12,OFFSET(CRONOPLE!$F$14,$M192,AP$13))))</f>
        <v>1000000000000</v>
      </c>
      <c r="AQ192" s="215">
        <f ca="1">IF($D192&lt;&gt;"Serviço",0,IF(AND(AUTOEVENTO="Manual",$M192=1),0,IF(OFFSET(CRONOPLE!$F$14,$M192,AQ$13)="",10^12,OFFSET(CRONOPLE!$F$14,$M192,AQ$13))))</f>
        <v>1000000000000</v>
      </c>
      <c r="AR192" s="215">
        <f ca="1">IF($D192&lt;&gt;"Serviço",0,IF(AND(AUTOEVENTO="Manual",$M192=1),0,IF(OFFSET(CRONOPLE!$F$14,$M192,AR$13)="",10^12,OFFSET(CRONOPLE!$F$14,$M192,AR$13))))</f>
        <v>1000000000000</v>
      </c>
      <c r="AS192" s="215">
        <f ca="1">IF($D192&lt;&gt;"Serviço",0,IF(AND(AUTOEVENTO="Manual",$M192=1),0,IF(OFFSET(CRONOPLE!$F$14,$M192,AS$13)="",10^12,OFFSET(CRONOPLE!$F$14,$M192,AS$13))))</f>
        <v>1000000000000</v>
      </c>
      <c r="AT192" s="215">
        <f ca="1">IF($D192&lt;&gt;"Serviço",0,IF(AND(AUTOEVENTO="Manual",$M192=1),0,IF(OFFSET(CRONOPLE!$F$14,$M192,AT$13)="",10^12,OFFSET(CRONOPLE!$F$14,$M192,AT$13))))</f>
        <v>1000000000000</v>
      </c>
      <c r="AU192" s="215">
        <f ca="1">IF($D192&lt;&gt;"Serviço",0,IF(AND(AUTOEVENTO="Manual",$M192=1),0,IF(OFFSET(CRONOPLE!$F$14,$M192,AU$13)="",10^12,OFFSET(CRONOPLE!$F$14,$M192,AU$13))))</f>
        <v>1000000000000</v>
      </c>
      <c r="AV192" s="215">
        <f ca="1">IF($D192&lt;&gt;"Serviço",0,IF(AND(AUTOEVENTO="Manual",$M192=1),0,IF(OFFSET(CRONOPLE!$F$14,$M192,AV$13)="",10^12,OFFSET(CRONOPLE!$F$14,$M192,AV$13))))</f>
        <v>1000000000000</v>
      </c>
      <c r="AX192" s="216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6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6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6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6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6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6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6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6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6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37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5" t="str">
        <f ca="1">OFFSET(ORÇAMENTO!N$15,ROW(D193)-ROW(D$15),0)</f>
        <v>Serviço</v>
      </c>
      <c r="E193" s="205" t="str">
        <f ca="1">OFFSET(ORÇAMENTO!O$15,ROW(E193)-ROW(E$15),0)</f>
        <v>-</v>
      </c>
      <c r="F193" s="206" t="str">
        <f ca="1">OFFSET(ORÇAMENTO!R$15,ROW(F193)-ROW(F$15),0)</f>
        <v>(abra o arquivo 'Referência 05-2023.xls)</v>
      </c>
      <c r="G193" s="207" t="str">
        <f ca="1">IF($D193&lt;&gt;"Serviço","",OFFSET(ORÇAMENTO!S$15,ROW(G193)-ROW(G$15),0))</f>
        <v>-</v>
      </c>
      <c r="H193" s="151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1"/>
      <c r="K193" s="208"/>
      <c r="L193" s="209" t="s">
        <v>254</v>
      </c>
      <c r="M193" s="210">
        <f ca="1">IF($D193&lt;&gt;"Serviço","",IF(AUTOEVENTO="manual",$A193,IF(ISERROR(MATCH($A193,$A$15:OFFSET($A193,-1,0),0)),MAX($M$15:OFFSET(M193,-1,0))+1,INDEX($M$15:OFFSET(M193,-1,0),MATCH($A193,$A$15:OFFSET($A193,-1,0),0)))))</f>
        <v>5</v>
      </c>
      <c r="N193" s="211" t="str">
        <f ca="1">IF($D193&lt;&gt;"Serviço","",IF(AUTOEVENTO="Manual",IF($A193=0,"&lt;-- defina o número do agrupador",OFFSET(EVENTOS!$D$14,$A193,0)),OFFSET($F$15,$A193,0)))</f>
        <v>PINTURAS E TEXTURAS</v>
      </c>
      <c r="O193" s="212"/>
      <c r="Q193" s="212"/>
      <c r="R193" s="213"/>
      <c r="S193" s="213"/>
      <c r="T193" s="213"/>
      <c r="U193" s="213"/>
      <c r="V193" s="213"/>
      <c r="W193" s="213"/>
      <c r="X193" s="213"/>
      <c r="Y193" s="213"/>
      <c r="Z193" s="214"/>
      <c r="AB193" s="592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3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3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3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3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3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3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3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3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4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5">
        <f ca="1">IF($D193&lt;&gt;"Serviço",0,IF(AND(AUTOEVENTO="Manual",$M193=1),0,IF(OFFSET(CRONOPLE!$F$14,$M193,AM$13)="",10^12,OFFSET(CRONOPLE!$F$14,$M193,AM$13))))</f>
        <v>2</v>
      </c>
      <c r="AN193" s="215">
        <f ca="1">IF($D193&lt;&gt;"Serviço",0,IF(AND(AUTOEVENTO="Manual",$M193=1),0,IF(OFFSET(CRONOPLE!$F$14,$M193,AN$13)="",10^12,OFFSET(CRONOPLE!$F$14,$M193,AN$13))))</f>
        <v>2</v>
      </c>
      <c r="AO193" s="215">
        <f ca="1">IF($D193&lt;&gt;"Serviço",0,IF(AND(AUTOEVENTO="Manual",$M193=1),0,IF(OFFSET(CRONOPLE!$F$14,$M193,AO$13)="",10^12,OFFSET(CRONOPLE!$F$14,$M193,AO$13))))</f>
        <v>3</v>
      </c>
      <c r="AP193" s="215">
        <f ca="1">IF($D193&lt;&gt;"Serviço",0,IF(AND(AUTOEVENTO="Manual",$M193=1),0,IF(OFFSET(CRONOPLE!$F$14,$M193,AP$13)="",10^12,OFFSET(CRONOPLE!$F$14,$M193,AP$13))))</f>
        <v>1000000000000</v>
      </c>
      <c r="AQ193" s="215">
        <f ca="1">IF($D193&lt;&gt;"Serviço",0,IF(AND(AUTOEVENTO="Manual",$M193=1),0,IF(OFFSET(CRONOPLE!$F$14,$M193,AQ$13)="",10^12,OFFSET(CRONOPLE!$F$14,$M193,AQ$13))))</f>
        <v>1000000000000</v>
      </c>
      <c r="AR193" s="215">
        <f ca="1">IF($D193&lt;&gt;"Serviço",0,IF(AND(AUTOEVENTO="Manual",$M193=1),0,IF(OFFSET(CRONOPLE!$F$14,$M193,AR$13)="",10^12,OFFSET(CRONOPLE!$F$14,$M193,AR$13))))</f>
        <v>1000000000000</v>
      </c>
      <c r="AS193" s="215">
        <f ca="1">IF($D193&lt;&gt;"Serviço",0,IF(AND(AUTOEVENTO="Manual",$M193=1),0,IF(OFFSET(CRONOPLE!$F$14,$M193,AS$13)="",10^12,OFFSET(CRONOPLE!$F$14,$M193,AS$13))))</f>
        <v>1000000000000</v>
      </c>
      <c r="AT193" s="215">
        <f ca="1">IF($D193&lt;&gt;"Serviço",0,IF(AND(AUTOEVENTO="Manual",$M193=1),0,IF(OFFSET(CRONOPLE!$F$14,$M193,AT$13)="",10^12,OFFSET(CRONOPLE!$F$14,$M193,AT$13))))</f>
        <v>1000000000000</v>
      </c>
      <c r="AU193" s="215">
        <f ca="1">IF($D193&lt;&gt;"Serviço",0,IF(AND(AUTOEVENTO="Manual",$M193=1),0,IF(OFFSET(CRONOPLE!$F$14,$M193,AU$13)="",10^12,OFFSET(CRONOPLE!$F$14,$M193,AU$13))))</f>
        <v>1000000000000</v>
      </c>
      <c r="AV193" s="215">
        <f ca="1">IF($D193&lt;&gt;"Serviço",0,IF(AND(AUTOEVENTO="Manual",$M193=1),0,IF(OFFSET(CRONOPLE!$F$14,$M193,AV$13)="",10^12,OFFSET(CRONOPLE!$F$14,$M193,AV$13))))</f>
        <v>1000000000000</v>
      </c>
      <c r="AX193" s="216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6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6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6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6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6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6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6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6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6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37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5" t="str">
        <f ca="1">OFFSET(ORÇAMENTO!N$15,ROW(D194)-ROW(D$15),0)</f>
        <v>Serviço</v>
      </c>
      <c r="E194" s="205" t="str">
        <f ca="1">OFFSET(ORÇAMENTO!O$15,ROW(E194)-ROW(E$15),0)</f>
        <v>-</v>
      </c>
      <c r="F194" s="206" t="str">
        <f ca="1">OFFSET(ORÇAMENTO!R$15,ROW(F194)-ROW(F$15),0)</f>
        <v>(abra o arquivo 'Referência 05-2023.xls)</v>
      </c>
      <c r="G194" s="207" t="str">
        <f ca="1">IF($D194&lt;&gt;"Serviço","",OFFSET(ORÇAMENTO!S$15,ROW(G194)-ROW(G$15),0))</f>
        <v>-</v>
      </c>
      <c r="H194" s="151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1"/>
      <c r="K194" s="208"/>
      <c r="L194" s="209" t="s">
        <v>254</v>
      </c>
      <c r="M194" s="210">
        <f ca="1">IF($D194&lt;&gt;"Serviço","",IF(AUTOEVENTO="manual",$A194,IF(ISERROR(MATCH($A194,$A$15:OFFSET($A194,-1,0),0)),MAX($M$15:OFFSET(M194,-1,0))+1,INDEX($M$15:OFFSET(M194,-1,0),MATCH($A194,$A$15:OFFSET($A194,-1,0),0)))))</f>
        <v>5</v>
      </c>
      <c r="N194" s="211" t="str">
        <f ca="1">IF($D194&lt;&gt;"Serviço","",IF(AUTOEVENTO="Manual",IF($A194=0,"&lt;-- defina o número do agrupador",OFFSET(EVENTOS!$D$14,$A194,0)),OFFSET($F$15,$A194,0)))</f>
        <v>PINTURAS E TEXTURAS</v>
      </c>
      <c r="O194" s="212"/>
      <c r="Q194" s="212"/>
      <c r="R194" s="213"/>
      <c r="S194" s="213"/>
      <c r="T194" s="213"/>
      <c r="U194" s="213"/>
      <c r="V194" s="213"/>
      <c r="W194" s="213"/>
      <c r="X194" s="213"/>
      <c r="Y194" s="213"/>
      <c r="Z194" s="214"/>
      <c r="AB194" s="592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3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3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3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3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3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3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3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3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4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5">
        <f ca="1">IF($D194&lt;&gt;"Serviço",0,IF(AND(AUTOEVENTO="Manual",$M194=1),0,IF(OFFSET(CRONOPLE!$F$14,$M194,AM$13)="",10^12,OFFSET(CRONOPLE!$F$14,$M194,AM$13))))</f>
        <v>2</v>
      </c>
      <c r="AN194" s="215">
        <f ca="1">IF($D194&lt;&gt;"Serviço",0,IF(AND(AUTOEVENTO="Manual",$M194=1),0,IF(OFFSET(CRONOPLE!$F$14,$M194,AN$13)="",10^12,OFFSET(CRONOPLE!$F$14,$M194,AN$13))))</f>
        <v>2</v>
      </c>
      <c r="AO194" s="215">
        <f ca="1">IF($D194&lt;&gt;"Serviço",0,IF(AND(AUTOEVENTO="Manual",$M194=1),0,IF(OFFSET(CRONOPLE!$F$14,$M194,AO$13)="",10^12,OFFSET(CRONOPLE!$F$14,$M194,AO$13))))</f>
        <v>3</v>
      </c>
      <c r="AP194" s="215">
        <f ca="1">IF($D194&lt;&gt;"Serviço",0,IF(AND(AUTOEVENTO="Manual",$M194=1),0,IF(OFFSET(CRONOPLE!$F$14,$M194,AP$13)="",10^12,OFFSET(CRONOPLE!$F$14,$M194,AP$13))))</f>
        <v>1000000000000</v>
      </c>
      <c r="AQ194" s="215">
        <f ca="1">IF($D194&lt;&gt;"Serviço",0,IF(AND(AUTOEVENTO="Manual",$M194=1),0,IF(OFFSET(CRONOPLE!$F$14,$M194,AQ$13)="",10^12,OFFSET(CRONOPLE!$F$14,$M194,AQ$13))))</f>
        <v>1000000000000</v>
      </c>
      <c r="AR194" s="215">
        <f ca="1">IF($D194&lt;&gt;"Serviço",0,IF(AND(AUTOEVENTO="Manual",$M194=1),0,IF(OFFSET(CRONOPLE!$F$14,$M194,AR$13)="",10^12,OFFSET(CRONOPLE!$F$14,$M194,AR$13))))</f>
        <v>1000000000000</v>
      </c>
      <c r="AS194" s="215">
        <f ca="1">IF($D194&lt;&gt;"Serviço",0,IF(AND(AUTOEVENTO="Manual",$M194=1),0,IF(OFFSET(CRONOPLE!$F$14,$M194,AS$13)="",10^12,OFFSET(CRONOPLE!$F$14,$M194,AS$13))))</f>
        <v>1000000000000</v>
      </c>
      <c r="AT194" s="215">
        <f ca="1">IF($D194&lt;&gt;"Serviço",0,IF(AND(AUTOEVENTO="Manual",$M194=1),0,IF(OFFSET(CRONOPLE!$F$14,$M194,AT$13)="",10^12,OFFSET(CRONOPLE!$F$14,$M194,AT$13))))</f>
        <v>1000000000000</v>
      </c>
      <c r="AU194" s="215">
        <f ca="1">IF($D194&lt;&gt;"Serviço",0,IF(AND(AUTOEVENTO="Manual",$M194=1),0,IF(OFFSET(CRONOPLE!$F$14,$M194,AU$13)="",10^12,OFFSET(CRONOPLE!$F$14,$M194,AU$13))))</f>
        <v>1000000000000</v>
      </c>
      <c r="AV194" s="215">
        <f ca="1">IF($D194&lt;&gt;"Serviço",0,IF(AND(AUTOEVENTO="Manual",$M194=1),0,IF(OFFSET(CRONOPLE!$F$14,$M194,AV$13)="",10^12,OFFSET(CRONOPLE!$F$14,$M194,AV$13))))</f>
        <v>1000000000000</v>
      </c>
      <c r="AX194" s="216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6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6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6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6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6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6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6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6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6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37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5" t="str">
        <f ca="1">OFFSET(ORÇAMENTO!N$15,ROW(D195)-ROW(D$15),0)</f>
        <v>Serviço</v>
      </c>
      <c r="E195" s="205" t="str">
        <f ca="1">OFFSET(ORÇAMENTO!O$15,ROW(E195)-ROW(E$15),0)</f>
        <v>-</v>
      </c>
      <c r="F195" s="206" t="str">
        <f ca="1">OFFSET(ORÇAMENTO!R$15,ROW(F195)-ROW(F$15),0)</f>
        <v>(abra o arquivo 'Referência 05-2023.xls)</v>
      </c>
      <c r="G195" s="207" t="str">
        <f ca="1">IF($D195&lt;&gt;"Serviço","",OFFSET(ORÇAMENTO!S$15,ROW(G195)-ROW(G$15),0))</f>
        <v>-</v>
      </c>
      <c r="H195" s="151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1"/>
      <c r="K195" s="208"/>
      <c r="L195" s="209" t="s">
        <v>254</v>
      </c>
      <c r="M195" s="210">
        <f ca="1">IF($D195&lt;&gt;"Serviço","",IF(AUTOEVENTO="manual",$A195,IF(ISERROR(MATCH($A195,$A$15:OFFSET($A195,-1,0),0)),MAX($M$15:OFFSET(M195,-1,0))+1,INDEX($M$15:OFFSET(M195,-1,0),MATCH($A195,$A$15:OFFSET($A195,-1,0),0)))))</f>
        <v>5</v>
      </c>
      <c r="N195" s="211" t="str">
        <f ca="1">IF($D195&lt;&gt;"Serviço","",IF(AUTOEVENTO="Manual",IF($A195=0,"&lt;-- defina o número do agrupador",OFFSET(EVENTOS!$D$14,$A195,0)),OFFSET($F$15,$A195,0)))</f>
        <v>PINTURAS E TEXTURAS</v>
      </c>
      <c r="O195" s="212"/>
      <c r="Q195" s="212"/>
      <c r="R195" s="213"/>
      <c r="S195" s="213"/>
      <c r="T195" s="213"/>
      <c r="U195" s="213"/>
      <c r="V195" s="213"/>
      <c r="W195" s="213"/>
      <c r="X195" s="213"/>
      <c r="Y195" s="213"/>
      <c r="Z195" s="214"/>
      <c r="AB195" s="592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3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3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3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3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3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3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3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3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4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5">
        <f ca="1">IF($D195&lt;&gt;"Serviço",0,IF(AND(AUTOEVENTO="Manual",$M195=1),0,IF(OFFSET(CRONOPLE!$F$14,$M195,AM$13)="",10^12,OFFSET(CRONOPLE!$F$14,$M195,AM$13))))</f>
        <v>2</v>
      </c>
      <c r="AN195" s="215">
        <f ca="1">IF($D195&lt;&gt;"Serviço",0,IF(AND(AUTOEVENTO="Manual",$M195=1),0,IF(OFFSET(CRONOPLE!$F$14,$M195,AN$13)="",10^12,OFFSET(CRONOPLE!$F$14,$M195,AN$13))))</f>
        <v>2</v>
      </c>
      <c r="AO195" s="215">
        <f ca="1">IF($D195&lt;&gt;"Serviço",0,IF(AND(AUTOEVENTO="Manual",$M195=1),0,IF(OFFSET(CRONOPLE!$F$14,$M195,AO$13)="",10^12,OFFSET(CRONOPLE!$F$14,$M195,AO$13))))</f>
        <v>3</v>
      </c>
      <c r="AP195" s="215">
        <f ca="1">IF($D195&lt;&gt;"Serviço",0,IF(AND(AUTOEVENTO="Manual",$M195=1),0,IF(OFFSET(CRONOPLE!$F$14,$M195,AP$13)="",10^12,OFFSET(CRONOPLE!$F$14,$M195,AP$13))))</f>
        <v>1000000000000</v>
      </c>
      <c r="AQ195" s="215">
        <f ca="1">IF($D195&lt;&gt;"Serviço",0,IF(AND(AUTOEVENTO="Manual",$M195=1),0,IF(OFFSET(CRONOPLE!$F$14,$M195,AQ$13)="",10^12,OFFSET(CRONOPLE!$F$14,$M195,AQ$13))))</f>
        <v>1000000000000</v>
      </c>
      <c r="AR195" s="215">
        <f ca="1">IF($D195&lt;&gt;"Serviço",0,IF(AND(AUTOEVENTO="Manual",$M195=1),0,IF(OFFSET(CRONOPLE!$F$14,$M195,AR$13)="",10^12,OFFSET(CRONOPLE!$F$14,$M195,AR$13))))</f>
        <v>1000000000000</v>
      </c>
      <c r="AS195" s="215">
        <f ca="1">IF($D195&lt;&gt;"Serviço",0,IF(AND(AUTOEVENTO="Manual",$M195=1),0,IF(OFFSET(CRONOPLE!$F$14,$M195,AS$13)="",10^12,OFFSET(CRONOPLE!$F$14,$M195,AS$13))))</f>
        <v>1000000000000</v>
      </c>
      <c r="AT195" s="215">
        <f ca="1">IF($D195&lt;&gt;"Serviço",0,IF(AND(AUTOEVENTO="Manual",$M195=1),0,IF(OFFSET(CRONOPLE!$F$14,$M195,AT$13)="",10^12,OFFSET(CRONOPLE!$F$14,$M195,AT$13))))</f>
        <v>1000000000000</v>
      </c>
      <c r="AU195" s="215">
        <f ca="1">IF($D195&lt;&gt;"Serviço",0,IF(AND(AUTOEVENTO="Manual",$M195=1),0,IF(OFFSET(CRONOPLE!$F$14,$M195,AU$13)="",10^12,OFFSET(CRONOPLE!$F$14,$M195,AU$13))))</f>
        <v>1000000000000</v>
      </c>
      <c r="AV195" s="215">
        <f ca="1">IF($D195&lt;&gt;"Serviço",0,IF(AND(AUTOEVENTO="Manual",$M195=1),0,IF(OFFSET(CRONOPLE!$F$14,$M195,AV$13)="",10^12,OFFSET(CRONOPLE!$F$14,$M195,AV$13))))</f>
        <v>1000000000000</v>
      </c>
      <c r="AX195" s="216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6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6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6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6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6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6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6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6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6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37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5" t="str">
        <f ca="1">OFFSET(ORÇAMENTO!N$15,ROW(D196)-ROW(D$15),0)</f>
        <v>Serviço</v>
      </c>
      <c r="E196" s="205" t="str">
        <f ca="1">OFFSET(ORÇAMENTO!O$15,ROW(E196)-ROW(E$15),0)</f>
        <v>-</v>
      </c>
      <c r="F196" s="206" t="str">
        <f ca="1">OFFSET(ORÇAMENTO!R$15,ROW(F196)-ROW(F$15),0)</f>
        <v>(abra o arquivo 'Referência 05-2023.xls)</v>
      </c>
      <c r="G196" s="207" t="str">
        <f ca="1">IF($D196&lt;&gt;"Serviço","",OFFSET(ORÇAMENTO!S$15,ROW(G196)-ROW(G$15),0))</f>
        <v>-</v>
      </c>
      <c r="H196" s="151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1"/>
      <c r="K196" s="208"/>
      <c r="L196" s="209" t="s">
        <v>254</v>
      </c>
      <c r="M196" s="210">
        <f ca="1">IF($D196&lt;&gt;"Serviço","",IF(AUTOEVENTO="manual",$A196,IF(ISERROR(MATCH($A196,$A$15:OFFSET($A196,-1,0),0)),MAX($M$15:OFFSET(M196,-1,0))+1,INDEX($M$15:OFFSET(M196,-1,0),MATCH($A196,$A$15:OFFSET($A196,-1,0),0)))))</f>
        <v>5</v>
      </c>
      <c r="N196" s="211" t="str">
        <f ca="1">IF($D196&lt;&gt;"Serviço","",IF(AUTOEVENTO="Manual",IF($A196=0,"&lt;-- defina o número do agrupador",OFFSET(EVENTOS!$D$14,$A196,0)),OFFSET($F$15,$A196,0)))</f>
        <v>PINTURAS E TEXTURAS</v>
      </c>
      <c r="O196" s="212"/>
      <c r="Q196" s="212"/>
      <c r="R196" s="213"/>
      <c r="S196" s="213"/>
      <c r="T196" s="213"/>
      <c r="U196" s="213"/>
      <c r="V196" s="213"/>
      <c r="W196" s="213"/>
      <c r="X196" s="213"/>
      <c r="Y196" s="213"/>
      <c r="Z196" s="214"/>
      <c r="AB196" s="592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3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3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3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3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3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3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3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3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4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5">
        <f ca="1">IF($D196&lt;&gt;"Serviço",0,IF(AND(AUTOEVENTO="Manual",$M196=1),0,IF(OFFSET(CRONOPLE!$F$14,$M196,AM$13)="",10^12,OFFSET(CRONOPLE!$F$14,$M196,AM$13))))</f>
        <v>2</v>
      </c>
      <c r="AN196" s="215">
        <f ca="1">IF($D196&lt;&gt;"Serviço",0,IF(AND(AUTOEVENTO="Manual",$M196=1),0,IF(OFFSET(CRONOPLE!$F$14,$M196,AN$13)="",10^12,OFFSET(CRONOPLE!$F$14,$M196,AN$13))))</f>
        <v>2</v>
      </c>
      <c r="AO196" s="215">
        <f ca="1">IF($D196&lt;&gt;"Serviço",0,IF(AND(AUTOEVENTO="Manual",$M196=1),0,IF(OFFSET(CRONOPLE!$F$14,$M196,AO$13)="",10^12,OFFSET(CRONOPLE!$F$14,$M196,AO$13))))</f>
        <v>3</v>
      </c>
      <c r="AP196" s="215">
        <f ca="1">IF($D196&lt;&gt;"Serviço",0,IF(AND(AUTOEVENTO="Manual",$M196=1),0,IF(OFFSET(CRONOPLE!$F$14,$M196,AP$13)="",10^12,OFFSET(CRONOPLE!$F$14,$M196,AP$13))))</f>
        <v>1000000000000</v>
      </c>
      <c r="AQ196" s="215">
        <f ca="1">IF($D196&lt;&gt;"Serviço",0,IF(AND(AUTOEVENTO="Manual",$M196=1),0,IF(OFFSET(CRONOPLE!$F$14,$M196,AQ$13)="",10^12,OFFSET(CRONOPLE!$F$14,$M196,AQ$13))))</f>
        <v>1000000000000</v>
      </c>
      <c r="AR196" s="215">
        <f ca="1">IF($D196&lt;&gt;"Serviço",0,IF(AND(AUTOEVENTO="Manual",$M196=1),0,IF(OFFSET(CRONOPLE!$F$14,$M196,AR$13)="",10^12,OFFSET(CRONOPLE!$F$14,$M196,AR$13))))</f>
        <v>1000000000000</v>
      </c>
      <c r="AS196" s="215">
        <f ca="1">IF($D196&lt;&gt;"Serviço",0,IF(AND(AUTOEVENTO="Manual",$M196=1),0,IF(OFFSET(CRONOPLE!$F$14,$M196,AS$13)="",10^12,OFFSET(CRONOPLE!$F$14,$M196,AS$13))))</f>
        <v>1000000000000</v>
      </c>
      <c r="AT196" s="215">
        <f ca="1">IF($D196&lt;&gt;"Serviço",0,IF(AND(AUTOEVENTO="Manual",$M196=1),0,IF(OFFSET(CRONOPLE!$F$14,$M196,AT$13)="",10^12,OFFSET(CRONOPLE!$F$14,$M196,AT$13))))</f>
        <v>1000000000000</v>
      </c>
      <c r="AU196" s="215">
        <f ca="1">IF($D196&lt;&gt;"Serviço",0,IF(AND(AUTOEVENTO="Manual",$M196=1),0,IF(OFFSET(CRONOPLE!$F$14,$M196,AU$13)="",10^12,OFFSET(CRONOPLE!$F$14,$M196,AU$13))))</f>
        <v>1000000000000</v>
      </c>
      <c r="AV196" s="215">
        <f ca="1">IF($D196&lt;&gt;"Serviço",0,IF(AND(AUTOEVENTO="Manual",$M196=1),0,IF(OFFSET(CRONOPLE!$F$14,$M196,AV$13)="",10^12,OFFSET(CRONOPLE!$F$14,$M196,AV$13))))</f>
        <v>1000000000000</v>
      </c>
      <c r="AX196" s="216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6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6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6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6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6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6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6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6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6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37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5" t="str">
        <f ca="1">OFFSET(ORÇAMENTO!N$15,ROW(D197)-ROW(D$15),0)</f>
        <v>Serviço</v>
      </c>
      <c r="E197" s="205" t="str">
        <f ca="1">OFFSET(ORÇAMENTO!O$15,ROW(E197)-ROW(E$15),0)</f>
        <v>-</v>
      </c>
      <c r="F197" s="206" t="str">
        <f ca="1">OFFSET(ORÇAMENTO!R$15,ROW(F197)-ROW(F$15),0)</f>
        <v>(abra o arquivo 'Referência 05-2023.xls)</v>
      </c>
      <c r="G197" s="207" t="str">
        <f ca="1">IF($D197&lt;&gt;"Serviço","",OFFSET(ORÇAMENTO!S$15,ROW(G197)-ROW(G$15),0))</f>
        <v>-</v>
      </c>
      <c r="H197" s="151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1"/>
      <c r="K197" s="208"/>
      <c r="L197" s="209" t="s">
        <v>254</v>
      </c>
      <c r="M197" s="210">
        <f ca="1">IF($D197&lt;&gt;"Serviço","",IF(AUTOEVENTO="manual",$A197,IF(ISERROR(MATCH($A197,$A$15:OFFSET($A197,-1,0),0)),MAX($M$15:OFFSET(M197,-1,0))+1,INDEX($M$15:OFFSET(M197,-1,0),MATCH($A197,$A$15:OFFSET($A197,-1,0),0)))))</f>
        <v>5</v>
      </c>
      <c r="N197" s="211" t="str">
        <f ca="1">IF($D197&lt;&gt;"Serviço","",IF(AUTOEVENTO="Manual",IF($A197=0,"&lt;-- defina o número do agrupador",OFFSET(EVENTOS!$D$14,$A197,0)),OFFSET($F$15,$A197,0)))</f>
        <v>PINTURAS E TEXTURAS</v>
      </c>
      <c r="O197" s="212"/>
      <c r="Q197" s="212"/>
      <c r="R197" s="213"/>
      <c r="S197" s="213"/>
      <c r="T197" s="213"/>
      <c r="U197" s="213"/>
      <c r="V197" s="213"/>
      <c r="W197" s="213"/>
      <c r="X197" s="213"/>
      <c r="Y197" s="213"/>
      <c r="Z197" s="214"/>
      <c r="AB197" s="592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3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3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3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3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3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3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3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3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4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5">
        <f ca="1">IF($D197&lt;&gt;"Serviço",0,IF(AND(AUTOEVENTO="Manual",$M197=1),0,IF(OFFSET(CRONOPLE!$F$14,$M197,AM$13)="",10^12,OFFSET(CRONOPLE!$F$14,$M197,AM$13))))</f>
        <v>2</v>
      </c>
      <c r="AN197" s="215">
        <f ca="1">IF($D197&lt;&gt;"Serviço",0,IF(AND(AUTOEVENTO="Manual",$M197=1),0,IF(OFFSET(CRONOPLE!$F$14,$M197,AN$13)="",10^12,OFFSET(CRONOPLE!$F$14,$M197,AN$13))))</f>
        <v>2</v>
      </c>
      <c r="AO197" s="215">
        <f ca="1">IF($D197&lt;&gt;"Serviço",0,IF(AND(AUTOEVENTO="Manual",$M197=1),0,IF(OFFSET(CRONOPLE!$F$14,$M197,AO$13)="",10^12,OFFSET(CRONOPLE!$F$14,$M197,AO$13))))</f>
        <v>3</v>
      </c>
      <c r="AP197" s="215">
        <f ca="1">IF($D197&lt;&gt;"Serviço",0,IF(AND(AUTOEVENTO="Manual",$M197=1),0,IF(OFFSET(CRONOPLE!$F$14,$M197,AP$13)="",10^12,OFFSET(CRONOPLE!$F$14,$M197,AP$13))))</f>
        <v>1000000000000</v>
      </c>
      <c r="AQ197" s="215">
        <f ca="1">IF($D197&lt;&gt;"Serviço",0,IF(AND(AUTOEVENTO="Manual",$M197=1),0,IF(OFFSET(CRONOPLE!$F$14,$M197,AQ$13)="",10^12,OFFSET(CRONOPLE!$F$14,$M197,AQ$13))))</f>
        <v>1000000000000</v>
      </c>
      <c r="AR197" s="215">
        <f ca="1">IF($D197&lt;&gt;"Serviço",0,IF(AND(AUTOEVENTO="Manual",$M197=1),0,IF(OFFSET(CRONOPLE!$F$14,$M197,AR$13)="",10^12,OFFSET(CRONOPLE!$F$14,$M197,AR$13))))</f>
        <v>1000000000000</v>
      </c>
      <c r="AS197" s="215">
        <f ca="1">IF($D197&lt;&gt;"Serviço",0,IF(AND(AUTOEVENTO="Manual",$M197=1),0,IF(OFFSET(CRONOPLE!$F$14,$M197,AS$13)="",10^12,OFFSET(CRONOPLE!$F$14,$M197,AS$13))))</f>
        <v>1000000000000</v>
      </c>
      <c r="AT197" s="215">
        <f ca="1">IF($D197&lt;&gt;"Serviço",0,IF(AND(AUTOEVENTO="Manual",$M197=1),0,IF(OFFSET(CRONOPLE!$F$14,$M197,AT$13)="",10^12,OFFSET(CRONOPLE!$F$14,$M197,AT$13))))</f>
        <v>1000000000000</v>
      </c>
      <c r="AU197" s="215">
        <f ca="1">IF($D197&lt;&gt;"Serviço",0,IF(AND(AUTOEVENTO="Manual",$M197=1),0,IF(OFFSET(CRONOPLE!$F$14,$M197,AU$13)="",10^12,OFFSET(CRONOPLE!$F$14,$M197,AU$13))))</f>
        <v>1000000000000</v>
      </c>
      <c r="AV197" s="215">
        <f ca="1">IF($D197&lt;&gt;"Serviço",0,IF(AND(AUTOEVENTO="Manual",$M197=1),0,IF(OFFSET(CRONOPLE!$F$14,$M197,AV$13)="",10^12,OFFSET(CRONOPLE!$F$14,$M197,AV$13))))</f>
        <v>1000000000000</v>
      </c>
      <c r="AX197" s="216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6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6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6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6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6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6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6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6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6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37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5" t="str">
        <f ca="1">OFFSET(ORÇAMENTO!N$15,ROW(D198)-ROW(D$15),0)</f>
        <v>Serviço</v>
      </c>
      <c r="E198" s="205" t="str">
        <f ca="1">OFFSET(ORÇAMENTO!O$15,ROW(E198)-ROW(E$15),0)</f>
        <v>-</v>
      </c>
      <c r="F198" s="206" t="str">
        <f ca="1">OFFSET(ORÇAMENTO!R$15,ROW(F198)-ROW(F$15),0)</f>
        <v>(abra o arquivo 'Referência 05-2023.xls)</v>
      </c>
      <c r="G198" s="207" t="str">
        <f ca="1">IF($D198&lt;&gt;"Serviço","",OFFSET(ORÇAMENTO!S$15,ROW(G198)-ROW(G$15),0))</f>
        <v>-</v>
      </c>
      <c r="H198" s="151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1"/>
      <c r="K198" s="208"/>
      <c r="L198" s="209" t="s">
        <v>254</v>
      </c>
      <c r="M198" s="210">
        <f ca="1">IF($D198&lt;&gt;"Serviço","",IF(AUTOEVENTO="manual",$A198,IF(ISERROR(MATCH($A198,$A$15:OFFSET($A198,-1,0),0)),MAX($M$15:OFFSET(M198,-1,0))+1,INDEX($M$15:OFFSET(M198,-1,0),MATCH($A198,$A$15:OFFSET($A198,-1,0),0)))))</f>
        <v>5</v>
      </c>
      <c r="N198" s="211" t="str">
        <f ca="1">IF($D198&lt;&gt;"Serviço","",IF(AUTOEVENTO="Manual",IF($A198=0,"&lt;-- defina o número do agrupador",OFFSET(EVENTOS!$D$14,$A198,0)),OFFSET($F$15,$A198,0)))</f>
        <v>PINTURAS E TEXTURAS</v>
      </c>
      <c r="O198" s="212"/>
      <c r="Q198" s="212"/>
      <c r="R198" s="213"/>
      <c r="S198" s="213"/>
      <c r="T198" s="213"/>
      <c r="U198" s="213"/>
      <c r="V198" s="213"/>
      <c r="W198" s="213"/>
      <c r="X198" s="213"/>
      <c r="Y198" s="213"/>
      <c r="Z198" s="214"/>
      <c r="AB198" s="592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3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3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3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3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3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3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3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3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4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5">
        <f ca="1">IF($D198&lt;&gt;"Serviço",0,IF(AND(AUTOEVENTO="Manual",$M198=1),0,IF(OFFSET(CRONOPLE!$F$14,$M198,AM$13)="",10^12,OFFSET(CRONOPLE!$F$14,$M198,AM$13))))</f>
        <v>2</v>
      </c>
      <c r="AN198" s="215">
        <f ca="1">IF($D198&lt;&gt;"Serviço",0,IF(AND(AUTOEVENTO="Manual",$M198=1),0,IF(OFFSET(CRONOPLE!$F$14,$M198,AN$13)="",10^12,OFFSET(CRONOPLE!$F$14,$M198,AN$13))))</f>
        <v>2</v>
      </c>
      <c r="AO198" s="215">
        <f ca="1">IF($D198&lt;&gt;"Serviço",0,IF(AND(AUTOEVENTO="Manual",$M198=1),0,IF(OFFSET(CRONOPLE!$F$14,$M198,AO$13)="",10^12,OFFSET(CRONOPLE!$F$14,$M198,AO$13))))</f>
        <v>3</v>
      </c>
      <c r="AP198" s="215">
        <f ca="1">IF($D198&lt;&gt;"Serviço",0,IF(AND(AUTOEVENTO="Manual",$M198=1),0,IF(OFFSET(CRONOPLE!$F$14,$M198,AP$13)="",10^12,OFFSET(CRONOPLE!$F$14,$M198,AP$13))))</f>
        <v>1000000000000</v>
      </c>
      <c r="AQ198" s="215">
        <f ca="1">IF($D198&lt;&gt;"Serviço",0,IF(AND(AUTOEVENTO="Manual",$M198=1),0,IF(OFFSET(CRONOPLE!$F$14,$M198,AQ$13)="",10^12,OFFSET(CRONOPLE!$F$14,$M198,AQ$13))))</f>
        <v>1000000000000</v>
      </c>
      <c r="AR198" s="215">
        <f ca="1">IF($D198&lt;&gt;"Serviço",0,IF(AND(AUTOEVENTO="Manual",$M198=1),0,IF(OFFSET(CRONOPLE!$F$14,$M198,AR$13)="",10^12,OFFSET(CRONOPLE!$F$14,$M198,AR$13))))</f>
        <v>1000000000000</v>
      </c>
      <c r="AS198" s="215">
        <f ca="1">IF($D198&lt;&gt;"Serviço",0,IF(AND(AUTOEVENTO="Manual",$M198=1),0,IF(OFFSET(CRONOPLE!$F$14,$M198,AS$13)="",10^12,OFFSET(CRONOPLE!$F$14,$M198,AS$13))))</f>
        <v>1000000000000</v>
      </c>
      <c r="AT198" s="215">
        <f ca="1">IF($D198&lt;&gt;"Serviço",0,IF(AND(AUTOEVENTO="Manual",$M198=1),0,IF(OFFSET(CRONOPLE!$F$14,$M198,AT$13)="",10^12,OFFSET(CRONOPLE!$F$14,$M198,AT$13))))</f>
        <v>1000000000000</v>
      </c>
      <c r="AU198" s="215">
        <f ca="1">IF($D198&lt;&gt;"Serviço",0,IF(AND(AUTOEVENTO="Manual",$M198=1),0,IF(OFFSET(CRONOPLE!$F$14,$M198,AU$13)="",10^12,OFFSET(CRONOPLE!$F$14,$M198,AU$13))))</f>
        <v>1000000000000</v>
      </c>
      <c r="AV198" s="215">
        <f ca="1">IF($D198&lt;&gt;"Serviço",0,IF(AND(AUTOEVENTO="Manual",$M198=1),0,IF(OFFSET(CRONOPLE!$F$14,$M198,AV$13)="",10^12,OFFSET(CRONOPLE!$F$14,$M198,AV$13))))</f>
        <v>1000000000000</v>
      </c>
      <c r="AX198" s="216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6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6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6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6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6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6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6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6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6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37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5" t="str">
        <f ca="1">OFFSET(ORÇAMENTO!N$15,ROW(D199)-ROW(D$15),0)</f>
        <v>Serviço</v>
      </c>
      <c r="E199" s="205" t="str">
        <f ca="1">OFFSET(ORÇAMENTO!O$15,ROW(E199)-ROW(E$15),0)</f>
        <v>-</v>
      </c>
      <c r="F199" s="206" t="str">
        <f ca="1">OFFSET(ORÇAMENTO!R$15,ROW(F199)-ROW(F$15),0)</f>
        <v>(abra o arquivo 'Referência 05-2023.xls)</v>
      </c>
      <c r="G199" s="207" t="str">
        <f ca="1">IF($D199&lt;&gt;"Serviço","",OFFSET(ORÇAMENTO!S$15,ROW(G199)-ROW(G$15),0))</f>
        <v>-</v>
      </c>
      <c r="H199" s="151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1"/>
      <c r="K199" s="208"/>
      <c r="L199" s="209" t="s">
        <v>254</v>
      </c>
      <c r="M199" s="210">
        <f ca="1">IF($D199&lt;&gt;"Serviço","",IF(AUTOEVENTO="manual",$A199,IF(ISERROR(MATCH($A199,$A$15:OFFSET($A199,-1,0),0)),MAX($M$15:OFFSET(M199,-1,0))+1,INDEX($M$15:OFFSET(M199,-1,0),MATCH($A199,$A$15:OFFSET($A199,-1,0),0)))))</f>
        <v>5</v>
      </c>
      <c r="N199" s="211" t="str">
        <f ca="1">IF($D199&lt;&gt;"Serviço","",IF(AUTOEVENTO="Manual",IF($A199=0,"&lt;-- defina o número do agrupador",OFFSET(EVENTOS!$D$14,$A199,0)),OFFSET($F$15,$A199,0)))</f>
        <v>PINTURAS E TEXTURAS</v>
      </c>
      <c r="O199" s="212"/>
      <c r="Q199" s="212"/>
      <c r="R199" s="213"/>
      <c r="S199" s="213"/>
      <c r="T199" s="213"/>
      <c r="U199" s="213"/>
      <c r="V199" s="213"/>
      <c r="W199" s="213"/>
      <c r="X199" s="213"/>
      <c r="Y199" s="213"/>
      <c r="Z199" s="214"/>
      <c r="AB199" s="592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3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3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3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3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3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3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3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3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4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5">
        <f ca="1">IF($D199&lt;&gt;"Serviço",0,IF(AND(AUTOEVENTO="Manual",$M199=1),0,IF(OFFSET(CRONOPLE!$F$14,$M199,AM$13)="",10^12,OFFSET(CRONOPLE!$F$14,$M199,AM$13))))</f>
        <v>2</v>
      </c>
      <c r="AN199" s="215">
        <f ca="1">IF($D199&lt;&gt;"Serviço",0,IF(AND(AUTOEVENTO="Manual",$M199=1),0,IF(OFFSET(CRONOPLE!$F$14,$M199,AN$13)="",10^12,OFFSET(CRONOPLE!$F$14,$M199,AN$13))))</f>
        <v>2</v>
      </c>
      <c r="AO199" s="215">
        <f ca="1">IF($D199&lt;&gt;"Serviço",0,IF(AND(AUTOEVENTO="Manual",$M199=1),0,IF(OFFSET(CRONOPLE!$F$14,$M199,AO$13)="",10^12,OFFSET(CRONOPLE!$F$14,$M199,AO$13))))</f>
        <v>3</v>
      </c>
      <c r="AP199" s="215">
        <f ca="1">IF($D199&lt;&gt;"Serviço",0,IF(AND(AUTOEVENTO="Manual",$M199=1),0,IF(OFFSET(CRONOPLE!$F$14,$M199,AP$13)="",10^12,OFFSET(CRONOPLE!$F$14,$M199,AP$13))))</f>
        <v>1000000000000</v>
      </c>
      <c r="AQ199" s="215">
        <f ca="1">IF($D199&lt;&gt;"Serviço",0,IF(AND(AUTOEVENTO="Manual",$M199=1),0,IF(OFFSET(CRONOPLE!$F$14,$M199,AQ$13)="",10^12,OFFSET(CRONOPLE!$F$14,$M199,AQ$13))))</f>
        <v>1000000000000</v>
      </c>
      <c r="AR199" s="215">
        <f ca="1">IF($D199&lt;&gt;"Serviço",0,IF(AND(AUTOEVENTO="Manual",$M199=1),0,IF(OFFSET(CRONOPLE!$F$14,$M199,AR$13)="",10^12,OFFSET(CRONOPLE!$F$14,$M199,AR$13))))</f>
        <v>1000000000000</v>
      </c>
      <c r="AS199" s="215">
        <f ca="1">IF($D199&lt;&gt;"Serviço",0,IF(AND(AUTOEVENTO="Manual",$M199=1),0,IF(OFFSET(CRONOPLE!$F$14,$M199,AS$13)="",10^12,OFFSET(CRONOPLE!$F$14,$M199,AS$13))))</f>
        <v>1000000000000</v>
      </c>
      <c r="AT199" s="215">
        <f ca="1">IF($D199&lt;&gt;"Serviço",0,IF(AND(AUTOEVENTO="Manual",$M199=1),0,IF(OFFSET(CRONOPLE!$F$14,$M199,AT$13)="",10^12,OFFSET(CRONOPLE!$F$14,$M199,AT$13))))</f>
        <v>1000000000000</v>
      </c>
      <c r="AU199" s="215">
        <f ca="1">IF($D199&lt;&gt;"Serviço",0,IF(AND(AUTOEVENTO="Manual",$M199=1),0,IF(OFFSET(CRONOPLE!$F$14,$M199,AU$13)="",10^12,OFFSET(CRONOPLE!$F$14,$M199,AU$13))))</f>
        <v>1000000000000</v>
      </c>
      <c r="AV199" s="215">
        <f ca="1">IF($D199&lt;&gt;"Serviço",0,IF(AND(AUTOEVENTO="Manual",$M199=1),0,IF(OFFSET(CRONOPLE!$F$14,$M199,AV$13)="",10^12,OFFSET(CRONOPLE!$F$14,$M199,AV$13))))</f>
        <v>1000000000000</v>
      </c>
      <c r="AX199" s="216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6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6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6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6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6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6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6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6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6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37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5" t="str">
        <f ca="1">OFFSET(ORÇAMENTO!N$15,ROW(D200)-ROW(D$15),0)</f>
        <v>Serviço</v>
      </c>
      <c r="E200" s="205" t="str">
        <f ca="1">OFFSET(ORÇAMENTO!O$15,ROW(E200)-ROW(E$15),0)</f>
        <v>-</v>
      </c>
      <c r="F200" s="206" t="str">
        <f ca="1">OFFSET(ORÇAMENTO!R$15,ROW(F200)-ROW(F$15),0)</f>
        <v>(abra o arquivo 'Referência 05-2023.xls)</v>
      </c>
      <c r="G200" s="207" t="str">
        <f ca="1">IF($D200&lt;&gt;"Serviço","",OFFSET(ORÇAMENTO!S$15,ROW(G200)-ROW(G$15),0))</f>
        <v>-</v>
      </c>
      <c r="H200" s="151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1"/>
      <c r="K200" s="208"/>
      <c r="L200" s="209" t="s">
        <v>254</v>
      </c>
      <c r="M200" s="210">
        <f ca="1">IF($D200&lt;&gt;"Serviço","",IF(AUTOEVENTO="manual",$A200,IF(ISERROR(MATCH($A200,$A$15:OFFSET($A200,-1,0),0)),MAX($M$15:OFFSET(M200,-1,0))+1,INDEX($M$15:OFFSET(M200,-1,0),MATCH($A200,$A$15:OFFSET($A200,-1,0),0)))))</f>
        <v>5</v>
      </c>
      <c r="N200" s="211" t="str">
        <f ca="1">IF($D200&lt;&gt;"Serviço","",IF(AUTOEVENTO="Manual",IF($A200=0,"&lt;-- defina o número do agrupador",OFFSET(EVENTOS!$D$14,$A200,0)),OFFSET($F$15,$A200,0)))</f>
        <v>PINTURAS E TEXTURAS</v>
      </c>
      <c r="O200" s="212"/>
      <c r="Q200" s="212"/>
      <c r="R200" s="213"/>
      <c r="S200" s="213"/>
      <c r="T200" s="213"/>
      <c r="U200" s="213"/>
      <c r="V200" s="213"/>
      <c r="W200" s="213"/>
      <c r="X200" s="213"/>
      <c r="Y200" s="213"/>
      <c r="Z200" s="214"/>
      <c r="AB200" s="592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3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3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3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3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3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3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3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3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4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5">
        <f ca="1">IF($D200&lt;&gt;"Serviço",0,IF(AND(AUTOEVENTO="Manual",$M200=1),0,IF(OFFSET(CRONOPLE!$F$14,$M200,AM$13)="",10^12,OFFSET(CRONOPLE!$F$14,$M200,AM$13))))</f>
        <v>2</v>
      </c>
      <c r="AN200" s="215">
        <f ca="1">IF($D200&lt;&gt;"Serviço",0,IF(AND(AUTOEVENTO="Manual",$M200=1),0,IF(OFFSET(CRONOPLE!$F$14,$M200,AN$13)="",10^12,OFFSET(CRONOPLE!$F$14,$M200,AN$13))))</f>
        <v>2</v>
      </c>
      <c r="AO200" s="215">
        <f ca="1">IF($D200&lt;&gt;"Serviço",0,IF(AND(AUTOEVENTO="Manual",$M200=1),0,IF(OFFSET(CRONOPLE!$F$14,$M200,AO$13)="",10^12,OFFSET(CRONOPLE!$F$14,$M200,AO$13))))</f>
        <v>3</v>
      </c>
      <c r="AP200" s="215">
        <f ca="1">IF($D200&lt;&gt;"Serviço",0,IF(AND(AUTOEVENTO="Manual",$M200=1),0,IF(OFFSET(CRONOPLE!$F$14,$M200,AP$13)="",10^12,OFFSET(CRONOPLE!$F$14,$M200,AP$13))))</f>
        <v>1000000000000</v>
      </c>
      <c r="AQ200" s="215">
        <f ca="1">IF($D200&lt;&gt;"Serviço",0,IF(AND(AUTOEVENTO="Manual",$M200=1),0,IF(OFFSET(CRONOPLE!$F$14,$M200,AQ$13)="",10^12,OFFSET(CRONOPLE!$F$14,$M200,AQ$13))))</f>
        <v>1000000000000</v>
      </c>
      <c r="AR200" s="215">
        <f ca="1">IF($D200&lt;&gt;"Serviço",0,IF(AND(AUTOEVENTO="Manual",$M200=1),0,IF(OFFSET(CRONOPLE!$F$14,$M200,AR$13)="",10^12,OFFSET(CRONOPLE!$F$14,$M200,AR$13))))</f>
        <v>1000000000000</v>
      </c>
      <c r="AS200" s="215">
        <f ca="1">IF($D200&lt;&gt;"Serviço",0,IF(AND(AUTOEVENTO="Manual",$M200=1),0,IF(OFFSET(CRONOPLE!$F$14,$M200,AS$13)="",10^12,OFFSET(CRONOPLE!$F$14,$M200,AS$13))))</f>
        <v>1000000000000</v>
      </c>
      <c r="AT200" s="215">
        <f ca="1">IF($D200&lt;&gt;"Serviço",0,IF(AND(AUTOEVENTO="Manual",$M200=1),0,IF(OFFSET(CRONOPLE!$F$14,$M200,AT$13)="",10^12,OFFSET(CRONOPLE!$F$14,$M200,AT$13))))</f>
        <v>1000000000000</v>
      </c>
      <c r="AU200" s="215">
        <f ca="1">IF($D200&lt;&gt;"Serviço",0,IF(AND(AUTOEVENTO="Manual",$M200=1),0,IF(OFFSET(CRONOPLE!$F$14,$M200,AU$13)="",10^12,OFFSET(CRONOPLE!$F$14,$M200,AU$13))))</f>
        <v>1000000000000</v>
      </c>
      <c r="AV200" s="215">
        <f ca="1">IF($D200&lt;&gt;"Serviço",0,IF(AND(AUTOEVENTO="Manual",$M200=1),0,IF(OFFSET(CRONOPLE!$F$14,$M200,AV$13)="",10^12,OFFSET(CRONOPLE!$F$14,$M200,AV$13))))</f>
        <v>1000000000000</v>
      </c>
      <c r="AX200" s="216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6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6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6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6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6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6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6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6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6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37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5" t="str">
        <f ca="1">OFFSET(ORÇAMENTO!N$15,ROW(D201)-ROW(D$15),0)</f>
        <v>Serviço</v>
      </c>
      <c r="E201" s="205" t="str">
        <f ca="1">OFFSET(ORÇAMENTO!O$15,ROW(E201)-ROW(E$15),0)</f>
        <v>-</v>
      </c>
      <c r="F201" s="206" t="str">
        <f ca="1">OFFSET(ORÇAMENTO!R$15,ROW(F201)-ROW(F$15),0)</f>
        <v>(abra o arquivo 'Referência 05-2023.xls)</v>
      </c>
      <c r="G201" s="207" t="str">
        <f ca="1">IF($D201&lt;&gt;"Serviço","",OFFSET(ORÇAMENTO!S$15,ROW(G201)-ROW(G$15),0))</f>
        <v>-</v>
      </c>
      <c r="H201" s="151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1"/>
      <c r="K201" s="208"/>
      <c r="L201" s="209" t="s">
        <v>254</v>
      </c>
      <c r="M201" s="210">
        <f ca="1">IF($D201&lt;&gt;"Serviço","",IF(AUTOEVENTO="manual",$A201,IF(ISERROR(MATCH($A201,$A$15:OFFSET($A201,-1,0),0)),MAX($M$15:OFFSET(M201,-1,0))+1,INDEX($M$15:OFFSET(M201,-1,0),MATCH($A201,$A$15:OFFSET($A201,-1,0),0)))))</f>
        <v>5</v>
      </c>
      <c r="N201" s="211" t="str">
        <f ca="1">IF($D201&lt;&gt;"Serviço","",IF(AUTOEVENTO="Manual",IF($A201=0,"&lt;-- defina o número do agrupador",OFFSET(EVENTOS!$D$14,$A201,0)),OFFSET($F$15,$A201,0)))</f>
        <v>PINTURAS E TEXTURAS</v>
      </c>
      <c r="O201" s="212"/>
      <c r="Q201" s="212"/>
      <c r="R201" s="213"/>
      <c r="S201" s="213"/>
      <c r="T201" s="213"/>
      <c r="U201" s="213"/>
      <c r="V201" s="213"/>
      <c r="W201" s="213"/>
      <c r="X201" s="213"/>
      <c r="Y201" s="213"/>
      <c r="Z201" s="214"/>
      <c r="AB201" s="592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3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3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3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3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3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3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3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3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4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5">
        <f ca="1">IF($D201&lt;&gt;"Serviço",0,IF(AND(AUTOEVENTO="Manual",$M201=1),0,IF(OFFSET(CRONOPLE!$F$14,$M201,AM$13)="",10^12,OFFSET(CRONOPLE!$F$14,$M201,AM$13))))</f>
        <v>2</v>
      </c>
      <c r="AN201" s="215">
        <f ca="1">IF($D201&lt;&gt;"Serviço",0,IF(AND(AUTOEVENTO="Manual",$M201=1),0,IF(OFFSET(CRONOPLE!$F$14,$M201,AN$13)="",10^12,OFFSET(CRONOPLE!$F$14,$M201,AN$13))))</f>
        <v>2</v>
      </c>
      <c r="AO201" s="215">
        <f ca="1">IF($D201&lt;&gt;"Serviço",0,IF(AND(AUTOEVENTO="Manual",$M201=1),0,IF(OFFSET(CRONOPLE!$F$14,$M201,AO$13)="",10^12,OFFSET(CRONOPLE!$F$14,$M201,AO$13))))</f>
        <v>3</v>
      </c>
      <c r="AP201" s="215">
        <f ca="1">IF($D201&lt;&gt;"Serviço",0,IF(AND(AUTOEVENTO="Manual",$M201=1),0,IF(OFFSET(CRONOPLE!$F$14,$M201,AP$13)="",10^12,OFFSET(CRONOPLE!$F$14,$M201,AP$13))))</f>
        <v>1000000000000</v>
      </c>
      <c r="AQ201" s="215">
        <f ca="1">IF($D201&lt;&gt;"Serviço",0,IF(AND(AUTOEVENTO="Manual",$M201=1),0,IF(OFFSET(CRONOPLE!$F$14,$M201,AQ$13)="",10^12,OFFSET(CRONOPLE!$F$14,$M201,AQ$13))))</f>
        <v>1000000000000</v>
      </c>
      <c r="AR201" s="215">
        <f ca="1">IF($D201&lt;&gt;"Serviço",0,IF(AND(AUTOEVENTO="Manual",$M201=1),0,IF(OFFSET(CRONOPLE!$F$14,$M201,AR$13)="",10^12,OFFSET(CRONOPLE!$F$14,$M201,AR$13))))</f>
        <v>1000000000000</v>
      </c>
      <c r="AS201" s="215">
        <f ca="1">IF($D201&lt;&gt;"Serviço",0,IF(AND(AUTOEVENTO="Manual",$M201=1),0,IF(OFFSET(CRONOPLE!$F$14,$M201,AS$13)="",10^12,OFFSET(CRONOPLE!$F$14,$M201,AS$13))))</f>
        <v>1000000000000</v>
      </c>
      <c r="AT201" s="215">
        <f ca="1">IF($D201&lt;&gt;"Serviço",0,IF(AND(AUTOEVENTO="Manual",$M201=1),0,IF(OFFSET(CRONOPLE!$F$14,$M201,AT$13)="",10^12,OFFSET(CRONOPLE!$F$14,$M201,AT$13))))</f>
        <v>1000000000000</v>
      </c>
      <c r="AU201" s="215">
        <f ca="1">IF($D201&lt;&gt;"Serviço",0,IF(AND(AUTOEVENTO="Manual",$M201=1),0,IF(OFFSET(CRONOPLE!$F$14,$M201,AU$13)="",10^12,OFFSET(CRONOPLE!$F$14,$M201,AU$13))))</f>
        <v>1000000000000</v>
      </c>
      <c r="AV201" s="215">
        <f ca="1">IF($D201&lt;&gt;"Serviço",0,IF(AND(AUTOEVENTO="Manual",$M201=1),0,IF(OFFSET(CRONOPLE!$F$14,$M201,AV$13)="",10^12,OFFSET(CRONOPLE!$F$14,$M201,AV$13))))</f>
        <v>1000000000000</v>
      </c>
      <c r="AX201" s="216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6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6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6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6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6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6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6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6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6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37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5" t="str">
        <f ca="1">OFFSET(ORÇAMENTO!N$15,ROW(D202)-ROW(D$15),0)</f>
        <v>Serviço</v>
      </c>
      <c r="E202" s="205" t="str">
        <f ca="1">OFFSET(ORÇAMENTO!O$15,ROW(E202)-ROW(E$15),0)</f>
        <v>-</v>
      </c>
      <c r="F202" s="206" t="str">
        <f ca="1">OFFSET(ORÇAMENTO!R$15,ROW(F202)-ROW(F$15),0)</f>
        <v>(abra o arquivo 'Referência 05-2023.xls)</v>
      </c>
      <c r="G202" s="207" t="str">
        <f ca="1">IF($D202&lt;&gt;"Serviço","",OFFSET(ORÇAMENTO!S$15,ROW(G202)-ROW(G$15),0))</f>
        <v>-</v>
      </c>
      <c r="H202" s="151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1"/>
      <c r="K202" s="208"/>
      <c r="L202" s="209" t="s">
        <v>254</v>
      </c>
      <c r="M202" s="210">
        <f ca="1">IF($D202&lt;&gt;"Serviço","",IF(AUTOEVENTO="manual",$A202,IF(ISERROR(MATCH($A202,$A$15:OFFSET($A202,-1,0),0)),MAX($M$15:OFFSET(M202,-1,0))+1,INDEX($M$15:OFFSET(M202,-1,0),MATCH($A202,$A$15:OFFSET($A202,-1,0),0)))))</f>
        <v>5</v>
      </c>
      <c r="N202" s="211" t="str">
        <f ca="1">IF($D202&lt;&gt;"Serviço","",IF(AUTOEVENTO="Manual",IF($A202=0,"&lt;-- defina o número do agrupador",OFFSET(EVENTOS!$D$14,$A202,0)),OFFSET($F$15,$A202,0)))</f>
        <v>PINTURAS E TEXTURAS</v>
      </c>
      <c r="O202" s="212"/>
      <c r="Q202" s="212"/>
      <c r="R202" s="213"/>
      <c r="S202" s="213"/>
      <c r="T202" s="213"/>
      <c r="U202" s="213"/>
      <c r="V202" s="213"/>
      <c r="W202" s="213"/>
      <c r="X202" s="213"/>
      <c r="Y202" s="213"/>
      <c r="Z202" s="214"/>
      <c r="AB202" s="592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3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3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3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3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3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3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3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3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4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5">
        <f ca="1">IF($D202&lt;&gt;"Serviço",0,IF(AND(AUTOEVENTO="Manual",$M202=1),0,IF(OFFSET(CRONOPLE!$F$14,$M202,AM$13)="",10^12,OFFSET(CRONOPLE!$F$14,$M202,AM$13))))</f>
        <v>2</v>
      </c>
      <c r="AN202" s="215">
        <f ca="1">IF($D202&lt;&gt;"Serviço",0,IF(AND(AUTOEVENTO="Manual",$M202=1),0,IF(OFFSET(CRONOPLE!$F$14,$M202,AN$13)="",10^12,OFFSET(CRONOPLE!$F$14,$M202,AN$13))))</f>
        <v>2</v>
      </c>
      <c r="AO202" s="215">
        <f ca="1">IF($D202&lt;&gt;"Serviço",0,IF(AND(AUTOEVENTO="Manual",$M202=1),0,IF(OFFSET(CRONOPLE!$F$14,$M202,AO$13)="",10^12,OFFSET(CRONOPLE!$F$14,$M202,AO$13))))</f>
        <v>3</v>
      </c>
      <c r="AP202" s="215">
        <f ca="1">IF($D202&lt;&gt;"Serviço",0,IF(AND(AUTOEVENTO="Manual",$M202=1),0,IF(OFFSET(CRONOPLE!$F$14,$M202,AP$13)="",10^12,OFFSET(CRONOPLE!$F$14,$M202,AP$13))))</f>
        <v>1000000000000</v>
      </c>
      <c r="AQ202" s="215">
        <f ca="1">IF($D202&lt;&gt;"Serviço",0,IF(AND(AUTOEVENTO="Manual",$M202=1),0,IF(OFFSET(CRONOPLE!$F$14,$M202,AQ$13)="",10^12,OFFSET(CRONOPLE!$F$14,$M202,AQ$13))))</f>
        <v>1000000000000</v>
      </c>
      <c r="AR202" s="215">
        <f ca="1">IF($D202&lt;&gt;"Serviço",0,IF(AND(AUTOEVENTO="Manual",$M202=1),0,IF(OFFSET(CRONOPLE!$F$14,$M202,AR$13)="",10^12,OFFSET(CRONOPLE!$F$14,$M202,AR$13))))</f>
        <v>1000000000000</v>
      </c>
      <c r="AS202" s="215">
        <f ca="1">IF($D202&lt;&gt;"Serviço",0,IF(AND(AUTOEVENTO="Manual",$M202=1),0,IF(OFFSET(CRONOPLE!$F$14,$M202,AS$13)="",10^12,OFFSET(CRONOPLE!$F$14,$M202,AS$13))))</f>
        <v>1000000000000</v>
      </c>
      <c r="AT202" s="215">
        <f ca="1">IF($D202&lt;&gt;"Serviço",0,IF(AND(AUTOEVENTO="Manual",$M202=1),0,IF(OFFSET(CRONOPLE!$F$14,$M202,AT$13)="",10^12,OFFSET(CRONOPLE!$F$14,$M202,AT$13))))</f>
        <v>1000000000000</v>
      </c>
      <c r="AU202" s="215">
        <f ca="1">IF($D202&lt;&gt;"Serviço",0,IF(AND(AUTOEVENTO="Manual",$M202=1),0,IF(OFFSET(CRONOPLE!$F$14,$M202,AU$13)="",10^12,OFFSET(CRONOPLE!$F$14,$M202,AU$13))))</f>
        <v>1000000000000</v>
      </c>
      <c r="AV202" s="215">
        <f ca="1">IF($D202&lt;&gt;"Serviço",0,IF(AND(AUTOEVENTO="Manual",$M202=1),0,IF(OFFSET(CRONOPLE!$F$14,$M202,AV$13)="",10^12,OFFSET(CRONOPLE!$F$14,$M202,AV$13))))</f>
        <v>1000000000000</v>
      </c>
      <c r="AX202" s="216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6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6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6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6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6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6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6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6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6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37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5" t="str">
        <f ca="1">OFFSET(ORÇAMENTO!N$15,ROW(D203)-ROW(D$15),0)</f>
        <v>Serviço</v>
      </c>
      <c r="E203" s="205" t="str">
        <f ca="1">OFFSET(ORÇAMENTO!O$15,ROW(E203)-ROW(E$15),0)</f>
        <v>-</v>
      </c>
      <c r="F203" s="206" t="str">
        <f ca="1">OFFSET(ORÇAMENTO!R$15,ROW(F203)-ROW(F$15),0)</f>
        <v>(abra o arquivo 'Referência 05-2023.xls)</v>
      </c>
      <c r="G203" s="207" t="str">
        <f ca="1">IF($D203&lt;&gt;"Serviço","",OFFSET(ORÇAMENTO!S$15,ROW(G203)-ROW(G$15),0))</f>
        <v>-</v>
      </c>
      <c r="H203" s="151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1"/>
      <c r="K203" s="208"/>
      <c r="L203" s="209" t="s">
        <v>254</v>
      </c>
      <c r="M203" s="210">
        <f ca="1">IF($D203&lt;&gt;"Serviço","",IF(AUTOEVENTO="manual",$A203,IF(ISERROR(MATCH($A203,$A$15:OFFSET($A203,-1,0),0)),MAX($M$15:OFFSET(M203,-1,0))+1,INDEX($M$15:OFFSET(M203,-1,0),MATCH($A203,$A$15:OFFSET($A203,-1,0),0)))))</f>
        <v>5</v>
      </c>
      <c r="N203" s="211" t="str">
        <f ca="1">IF($D203&lt;&gt;"Serviço","",IF(AUTOEVENTO="Manual",IF($A203=0,"&lt;-- defina o número do agrupador",OFFSET(EVENTOS!$D$14,$A203,0)),OFFSET($F$15,$A203,0)))</f>
        <v>PINTURAS E TEXTURAS</v>
      </c>
      <c r="O203" s="212"/>
      <c r="Q203" s="212"/>
      <c r="R203" s="213"/>
      <c r="S203" s="213"/>
      <c r="T203" s="213"/>
      <c r="U203" s="213"/>
      <c r="V203" s="213"/>
      <c r="W203" s="213"/>
      <c r="X203" s="213"/>
      <c r="Y203" s="213"/>
      <c r="Z203" s="214"/>
      <c r="AB203" s="592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3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3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3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3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3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3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3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3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4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5">
        <f ca="1">IF($D203&lt;&gt;"Serviço",0,IF(AND(AUTOEVENTO="Manual",$M203=1),0,IF(OFFSET(CRONOPLE!$F$14,$M203,AM$13)="",10^12,OFFSET(CRONOPLE!$F$14,$M203,AM$13))))</f>
        <v>2</v>
      </c>
      <c r="AN203" s="215">
        <f ca="1">IF($D203&lt;&gt;"Serviço",0,IF(AND(AUTOEVENTO="Manual",$M203=1),0,IF(OFFSET(CRONOPLE!$F$14,$M203,AN$13)="",10^12,OFFSET(CRONOPLE!$F$14,$M203,AN$13))))</f>
        <v>2</v>
      </c>
      <c r="AO203" s="215">
        <f ca="1">IF($D203&lt;&gt;"Serviço",0,IF(AND(AUTOEVENTO="Manual",$M203=1),0,IF(OFFSET(CRONOPLE!$F$14,$M203,AO$13)="",10^12,OFFSET(CRONOPLE!$F$14,$M203,AO$13))))</f>
        <v>3</v>
      </c>
      <c r="AP203" s="215">
        <f ca="1">IF($D203&lt;&gt;"Serviço",0,IF(AND(AUTOEVENTO="Manual",$M203=1),0,IF(OFFSET(CRONOPLE!$F$14,$M203,AP$13)="",10^12,OFFSET(CRONOPLE!$F$14,$M203,AP$13))))</f>
        <v>1000000000000</v>
      </c>
      <c r="AQ203" s="215">
        <f ca="1">IF($D203&lt;&gt;"Serviço",0,IF(AND(AUTOEVENTO="Manual",$M203=1),0,IF(OFFSET(CRONOPLE!$F$14,$M203,AQ$13)="",10^12,OFFSET(CRONOPLE!$F$14,$M203,AQ$13))))</f>
        <v>1000000000000</v>
      </c>
      <c r="AR203" s="215">
        <f ca="1">IF($D203&lt;&gt;"Serviço",0,IF(AND(AUTOEVENTO="Manual",$M203=1),0,IF(OFFSET(CRONOPLE!$F$14,$M203,AR$13)="",10^12,OFFSET(CRONOPLE!$F$14,$M203,AR$13))))</f>
        <v>1000000000000</v>
      </c>
      <c r="AS203" s="215">
        <f ca="1">IF($D203&lt;&gt;"Serviço",0,IF(AND(AUTOEVENTO="Manual",$M203=1),0,IF(OFFSET(CRONOPLE!$F$14,$M203,AS$13)="",10^12,OFFSET(CRONOPLE!$F$14,$M203,AS$13))))</f>
        <v>1000000000000</v>
      </c>
      <c r="AT203" s="215">
        <f ca="1">IF($D203&lt;&gt;"Serviço",0,IF(AND(AUTOEVENTO="Manual",$M203=1),0,IF(OFFSET(CRONOPLE!$F$14,$M203,AT$13)="",10^12,OFFSET(CRONOPLE!$F$14,$M203,AT$13))))</f>
        <v>1000000000000</v>
      </c>
      <c r="AU203" s="215">
        <f ca="1">IF($D203&lt;&gt;"Serviço",0,IF(AND(AUTOEVENTO="Manual",$M203=1),0,IF(OFFSET(CRONOPLE!$F$14,$M203,AU$13)="",10^12,OFFSET(CRONOPLE!$F$14,$M203,AU$13))))</f>
        <v>1000000000000</v>
      </c>
      <c r="AV203" s="215">
        <f ca="1">IF($D203&lt;&gt;"Serviço",0,IF(AND(AUTOEVENTO="Manual",$M203=1),0,IF(OFFSET(CRONOPLE!$F$14,$M203,AV$13)="",10^12,OFFSET(CRONOPLE!$F$14,$M203,AV$13))))</f>
        <v>1000000000000</v>
      </c>
      <c r="AX203" s="216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6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6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6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6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6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6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6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6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6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37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5" t="str">
        <f ca="1">OFFSET(ORÇAMENTO!N$15,ROW(D204)-ROW(D$15),0)</f>
        <v>Serviço</v>
      </c>
      <c r="E204" s="205" t="str">
        <f ca="1">OFFSET(ORÇAMENTO!O$15,ROW(E204)-ROW(E$15),0)</f>
        <v>-</v>
      </c>
      <c r="F204" s="206" t="str">
        <f ca="1">OFFSET(ORÇAMENTO!R$15,ROW(F204)-ROW(F$15),0)</f>
        <v>(abra o arquivo 'Referência 05-2023.xls)</v>
      </c>
      <c r="G204" s="207" t="str">
        <f ca="1">IF($D204&lt;&gt;"Serviço","",OFFSET(ORÇAMENTO!S$15,ROW(G204)-ROW(G$15),0))</f>
        <v>-</v>
      </c>
      <c r="H204" s="151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1"/>
      <c r="K204" s="208"/>
      <c r="L204" s="209" t="s">
        <v>254</v>
      </c>
      <c r="M204" s="210">
        <f ca="1">IF($D204&lt;&gt;"Serviço","",IF(AUTOEVENTO="manual",$A204,IF(ISERROR(MATCH($A204,$A$15:OFFSET($A204,-1,0),0)),MAX($M$15:OFFSET(M204,-1,0))+1,INDEX($M$15:OFFSET(M204,-1,0),MATCH($A204,$A$15:OFFSET($A204,-1,0),0)))))</f>
        <v>5</v>
      </c>
      <c r="N204" s="211" t="str">
        <f ca="1">IF($D204&lt;&gt;"Serviço","",IF(AUTOEVENTO="Manual",IF($A204=0,"&lt;-- defina o número do agrupador",OFFSET(EVENTOS!$D$14,$A204,0)),OFFSET($F$15,$A204,0)))</f>
        <v>PINTURAS E TEXTURAS</v>
      </c>
      <c r="O204" s="212"/>
      <c r="Q204" s="212"/>
      <c r="R204" s="213"/>
      <c r="S204" s="213"/>
      <c r="T204" s="213"/>
      <c r="U204" s="213"/>
      <c r="V204" s="213"/>
      <c r="W204" s="213"/>
      <c r="X204" s="213"/>
      <c r="Y204" s="213"/>
      <c r="Z204" s="214"/>
      <c r="AB204" s="592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3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3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3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3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3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3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3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3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4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5">
        <f ca="1">IF($D204&lt;&gt;"Serviço",0,IF(AND(AUTOEVENTO="Manual",$M204=1),0,IF(OFFSET(CRONOPLE!$F$14,$M204,AM$13)="",10^12,OFFSET(CRONOPLE!$F$14,$M204,AM$13))))</f>
        <v>2</v>
      </c>
      <c r="AN204" s="215">
        <f ca="1">IF($D204&lt;&gt;"Serviço",0,IF(AND(AUTOEVENTO="Manual",$M204=1),0,IF(OFFSET(CRONOPLE!$F$14,$M204,AN$13)="",10^12,OFFSET(CRONOPLE!$F$14,$M204,AN$13))))</f>
        <v>2</v>
      </c>
      <c r="AO204" s="215">
        <f ca="1">IF($D204&lt;&gt;"Serviço",0,IF(AND(AUTOEVENTO="Manual",$M204=1),0,IF(OFFSET(CRONOPLE!$F$14,$M204,AO$13)="",10^12,OFFSET(CRONOPLE!$F$14,$M204,AO$13))))</f>
        <v>3</v>
      </c>
      <c r="AP204" s="215">
        <f ca="1">IF($D204&lt;&gt;"Serviço",0,IF(AND(AUTOEVENTO="Manual",$M204=1),0,IF(OFFSET(CRONOPLE!$F$14,$M204,AP$13)="",10^12,OFFSET(CRONOPLE!$F$14,$M204,AP$13))))</f>
        <v>1000000000000</v>
      </c>
      <c r="AQ204" s="215">
        <f ca="1">IF($D204&lt;&gt;"Serviço",0,IF(AND(AUTOEVENTO="Manual",$M204=1),0,IF(OFFSET(CRONOPLE!$F$14,$M204,AQ$13)="",10^12,OFFSET(CRONOPLE!$F$14,$M204,AQ$13))))</f>
        <v>1000000000000</v>
      </c>
      <c r="AR204" s="215">
        <f ca="1">IF($D204&lt;&gt;"Serviço",0,IF(AND(AUTOEVENTO="Manual",$M204=1),0,IF(OFFSET(CRONOPLE!$F$14,$M204,AR$13)="",10^12,OFFSET(CRONOPLE!$F$14,$M204,AR$13))))</f>
        <v>1000000000000</v>
      </c>
      <c r="AS204" s="215">
        <f ca="1">IF($D204&lt;&gt;"Serviço",0,IF(AND(AUTOEVENTO="Manual",$M204=1),0,IF(OFFSET(CRONOPLE!$F$14,$M204,AS$13)="",10^12,OFFSET(CRONOPLE!$F$14,$M204,AS$13))))</f>
        <v>1000000000000</v>
      </c>
      <c r="AT204" s="215">
        <f ca="1">IF($D204&lt;&gt;"Serviço",0,IF(AND(AUTOEVENTO="Manual",$M204=1),0,IF(OFFSET(CRONOPLE!$F$14,$M204,AT$13)="",10^12,OFFSET(CRONOPLE!$F$14,$M204,AT$13))))</f>
        <v>1000000000000</v>
      </c>
      <c r="AU204" s="215">
        <f ca="1">IF($D204&lt;&gt;"Serviço",0,IF(AND(AUTOEVENTO="Manual",$M204=1),0,IF(OFFSET(CRONOPLE!$F$14,$M204,AU$13)="",10^12,OFFSET(CRONOPLE!$F$14,$M204,AU$13))))</f>
        <v>1000000000000</v>
      </c>
      <c r="AV204" s="215">
        <f ca="1">IF($D204&lt;&gt;"Serviço",0,IF(AND(AUTOEVENTO="Manual",$M204=1),0,IF(OFFSET(CRONOPLE!$F$14,$M204,AV$13)="",10^12,OFFSET(CRONOPLE!$F$14,$M204,AV$13))))</f>
        <v>1000000000000</v>
      </c>
      <c r="AX204" s="216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6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6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6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6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6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6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6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6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6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37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5" t="str">
        <f ca="1">OFFSET(ORÇAMENTO!N$15,ROW(D205)-ROW(D$15),0)</f>
        <v>Serviço</v>
      </c>
      <c r="E205" s="205" t="str">
        <f ca="1">OFFSET(ORÇAMENTO!O$15,ROW(E205)-ROW(E$15),0)</f>
        <v>-</v>
      </c>
      <c r="F205" s="206" t="str">
        <f ca="1">OFFSET(ORÇAMENTO!R$15,ROW(F205)-ROW(F$15),0)</f>
        <v>(abra o arquivo 'Referência 05-2023.xls)</v>
      </c>
      <c r="G205" s="207" t="str">
        <f ca="1">IF($D205&lt;&gt;"Serviço","",OFFSET(ORÇAMENTO!S$15,ROW(G205)-ROW(G$15),0))</f>
        <v>-</v>
      </c>
      <c r="H205" s="151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1"/>
      <c r="K205" s="208"/>
      <c r="L205" s="209" t="s">
        <v>254</v>
      </c>
      <c r="M205" s="210">
        <f ca="1">IF($D205&lt;&gt;"Serviço","",IF(AUTOEVENTO="manual",$A205,IF(ISERROR(MATCH($A205,$A$15:OFFSET($A205,-1,0),0)),MAX($M$15:OFFSET(M205,-1,0))+1,INDEX($M$15:OFFSET(M205,-1,0),MATCH($A205,$A$15:OFFSET($A205,-1,0),0)))))</f>
        <v>5</v>
      </c>
      <c r="N205" s="211" t="str">
        <f ca="1">IF($D205&lt;&gt;"Serviço","",IF(AUTOEVENTO="Manual",IF($A205=0,"&lt;-- defina o número do agrupador",OFFSET(EVENTOS!$D$14,$A205,0)),OFFSET($F$15,$A205,0)))</f>
        <v>PINTURAS E TEXTURAS</v>
      </c>
      <c r="O205" s="212"/>
      <c r="Q205" s="212"/>
      <c r="R205" s="213"/>
      <c r="S205" s="213"/>
      <c r="T205" s="213"/>
      <c r="U205" s="213"/>
      <c r="V205" s="213"/>
      <c r="W205" s="213"/>
      <c r="X205" s="213"/>
      <c r="Y205" s="213"/>
      <c r="Z205" s="214"/>
      <c r="AB205" s="592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3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3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3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3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3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3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3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3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4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5">
        <f ca="1">IF($D205&lt;&gt;"Serviço",0,IF(AND(AUTOEVENTO="Manual",$M205=1),0,IF(OFFSET(CRONOPLE!$F$14,$M205,AM$13)="",10^12,OFFSET(CRONOPLE!$F$14,$M205,AM$13))))</f>
        <v>2</v>
      </c>
      <c r="AN205" s="215">
        <f ca="1">IF($D205&lt;&gt;"Serviço",0,IF(AND(AUTOEVENTO="Manual",$M205=1),0,IF(OFFSET(CRONOPLE!$F$14,$M205,AN$13)="",10^12,OFFSET(CRONOPLE!$F$14,$M205,AN$13))))</f>
        <v>2</v>
      </c>
      <c r="AO205" s="215">
        <f ca="1">IF($D205&lt;&gt;"Serviço",0,IF(AND(AUTOEVENTO="Manual",$M205=1),0,IF(OFFSET(CRONOPLE!$F$14,$M205,AO$13)="",10^12,OFFSET(CRONOPLE!$F$14,$M205,AO$13))))</f>
        <v>3</v>
      </c>
      <c r="AP205" s="215">
        <f ca="1">IF($D205&lt;&gt;"Serviço",0,IF(AND(AUTOEVENTO="Manual",$M205=1),0,IF(OFFSET(CRONOPLE!$F$14,$M205,AP$13)="",10^12,OFFSET(CRONOPLE!$F$14,$M205,AP$13))))</f>
        <v>1000000000000</v>
      </c>
      <c r="AQ205" s="215">
        <f ca="1">IF($D205&lt;&gt;"Serviço",0,IF(AND(AUTOEVENTO="Manual",$M205=1),0,IF(OFFSET(CRONOPLE!$F$14,$M205,AQ$13)="",10^12,OFFSET(CRONOPLE!$F$14,$M205,AQ$13))))</f>
        <v>1000000000000</v>
      </c>
      <c r="AR205" s="215">
        <f ca="1">IF($D205&lt;&gt;"Serviço",0,IF(AND(AUTOEVENTO="Manual",$M205=1),0,IF(OFFSET(CRONOPLE!$F$14,$M205,AR$13)="",10^12,OFFSET(CRONOPLE!$F$14,$M205,AR$13))))</f>
        <v>1000000000000</v>
      </c>
      <c r="AS205" s="215">
        <f ca="1">IF($D205&lt;&gt;"Serviço",0,IF(AND(AUTOEVENTO="Manual",$M205=1),0,IF(OFFSET(CRONOPLE!$F$14,$M205,AS$13)="",10^12,OFFSET(CRONOPLE!$F$14,$M205,AS$13))))</f>
        <v>1000000000000</v>
      </c>
      <c r="AT205" s="215">
        <f ca="1">IF($D205&lt;&gt;"Serviço",0,IF(AND(AUTOEVENTO="Manual",$M205=1),0,IF(OFFSET(CRONOPLE!$F$14,$M205,AT$13)="",10^12,OFFSET(CRONOPLE!$F$14,$M205,AT$13))))</f>
        <v>1000000000000</v>
      </c>
      <c r="AU205" s="215">
        <f ca="1">IF($D205&lt;&gt;"Serviço",0,IF(AND(AUTOEVENTO="Manual",$M205=1),0,IF(OFFSET(CRONOPLE!$F$14,$M205,AU$13)="",10^12,OFFSET(CRONOPLE!$F$14,$M205,AU$13))))</f>
        <v>1000000000000</v>
      </c>
      <c r="AV205" s="215">
        <f ca="1">IF($D205&lt;&gt;"Serviço",0,IF(AND(AUTOEVENTO="Manual",$M205=1),0,IF(OFFSET(CRONOPLE!$F$14,$M205,AV$13)="",10^12,OFFSET(CRONOPLE!$F$14,$M205,AV$13))))</f>
        <v>1000000000000</v>
      </c>
      <c r="AX205" s="216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6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6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6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6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6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6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6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6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6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37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5" t="str">
        <f ca="1">OFFSET(ORÇAMENTO!N$15,ROW(D206)-ROW(D$15),0)</f>
        <v>Serviço</v>
      </c>
      <c r="E206" s="205" t="str">
        <f ca="1">OFFSET(ORÇAMENTO!O$15,ROW(E206)-ROW(E$15),0)</f>
        <v>-</v>
      </c>
      <c r="F206" s="206" t="str">
        <f ca="1">OFFSET(ORÇAMENTO!R$15,ROW(F206)-ROW(F$15),0)</f>
        <v>(abra o arquivo 'Referência 05-2023.xls)</v>
      </c>
      <c r="G206" s="207" t="str">
        <f ca="1">IF($D206&lt;&gt;"Serviço","",OFFSET(ORÇAMENTO!S$15,ROW(G206)-ROW(G$15),0))</f>
        <v>-</v>
      </c>
      <c r="H206" s="151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1"/>
      <c r="K206" s="208"/>
      <c r="L206" s="209" t="s">
        <v>254</v>
      </c>
      <c r="M206" s="210">
        <f ca="1">IF($D206&lt;&gt;"Serviço","",IF(AUTOEVENTO="manual",$A206,IF(ISERROR(MATCH($A206,$A$15:OFFSET($A206,-1,0),0)),MAX($M$15:OFFSET(M206,-1,0))+1,INDEX($M$15:OFFSET(M206,-1,0),MATCH($A206,$A$15:OFFSET($A206,-1,0),0)))))</f>
        <v>5</v>
      </c>
      <c r="N206" s="211" t="str">
        <f ca="1">IF($D206&lt;&gt;"Serviço","",IF(AUTOEVENTO="Manual",IF($A206=0,"&lt;-- defina o número do agrupador",OFFSET(EVENTOS!$D$14,$A206,0)),OFFSET($F$15,$A206,0)))</f>
        <v>PINTURAS E TEXTURAS</v>
      </c>
      <c r="O206" s="212"/>
      <c r="Q206" s="212"/>
      <c r="R206" s="213"/>
      <c r="S206" s="213"/>
      <c r="T206" s="213"/>
      <c r="U206" s="213"/>
      <c r="V206" s="213"/>
      <c r="W206" s="213"/>
      <c r="X206" s="213"/>
      <c r="Y206" s="213"/>
      <c r="Z206" s="214"/>
      <c r="AB206" s="592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3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3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3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3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3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3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3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3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4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5">
        <f ca="1">IF($D206&lt;&gt;"Serviço",0,IF(AND(AUTOEVENTO="Manual",$M206=1),0,IF(OFFSET(CRONOPLE!$F$14,$M206,AM$13)="",10^12,OFFSET(CRONOPLE!$F$14,$M206,AM$13))))</f>
        <v>2</v>
      </c>
      <c r="AN206" s="215">
        <f ca="1">IF($D206&lt;&gt;"Serviço",0,IF(AND(AUTOEVENTO="Manual",$M206=1),0,IF(OFFSET(CRONOPLE!$F$14,$M206,AN$13)="",10^12,OFFSET(CRONOPLE!$F$14,$M206,AN$13))))</f>
        <v>2</v>
      </c>
      <c r="AO206" s="215">
        <f ca="1">IF($D206&lt;&gt;"Serviço",0,IF(AND(AUTOEVENTO="Manual",$M206=1),0,IF(OFFSET(CRONOPLE!$F$14,$M206,AO$13)="",10^12,OFFSET(CRONOPLE!$F$14,$M206,AO$13))))</f>
        <v>3</v>
      </c>
      <c r="AP206" s="215">
        <f ca="1">IF($D206&lt;&gt;"Serviço",0,IF(AND(AUTOEVENTO="Manual",$M206=1),0,IF(OFFSET(CRONOPLE!$F$14,$M206,AP$13)="",10^12,OFFSET(CRONOPLE!$F$14,$M206,AP$13))))</f>
        <v>1000000000000</v>
      </c>
      <c r="AQ206" s="215">
        <f ca="1">IF($D206&lt;&gt;"Serviço",0,IF(AND(AUTOEVENTO="Manual",$M206=1),0,IF(OFFSET(CRONOPLE!$F$14,$M206,AQ$13)="",10^12,OFFSET(CRONOPLE!$F$14,$M206,AQ$13))))</f>
        <v>1000000000000</v>
      </c>
      <c r="AR206" s="215">
        <f ca="1">IF($D206&lt;&gt;"Serviço",0,IF(AND(AUTOEVENTO="Manual",$M206=1),0,IF(OFFSET(CRONOPLE!$F$14,$M206,AR$13)="",10^12,OFFSET(CRONOPLE!$F$14,$M206,AR$13))))</f>
        <v>1000000000000</v>
      </c>
      <c r="AS206" s="215">
        <f ca="1">IF($D206&lt;&gt;"Serviço",0,IF(AND(AUTOEVENTO="Manual",$M206=1),0,IF(OFFSET(CRONOPLE!$F$14,$M206,AS$13)="",10^12,OFFSET(CRONOPLE!$F$14,$M206,AS$13))))</f>
        <v>1000000000000</v>
      </c>
      <c r="AT206" s="215">
        <f ca="1">IF($D206&lt;&gt;"Serviço",0,IF(AND(AUTOEVENTO="Manual",$M206=1),0,IF(OFFSET(CRONOPLE!$F$14,$M206,AT$13)="",10^12,OFFSET(CRONOPLE!$F$14,$M206,AT$13))))</f>
        <v>1000000000000</v>
      </c>
      <c r="AU206" s="215">
        <f ca="1">IF($D206&lt;&gt;"Serviço",0,IF(AND(AUTOEVENTO="Manual",$M206=1),0,IF(OFFSET(CRONOPLE!$F$14,$M206,AU$13)="",10^12,OFFSET(CRONOPLE!$F$14,$M206,AU$13))))</f>
        <v>1000000000000</v>
      </c>
      <c r="AV206" s="215">
        <f ca="1">IF($D206&lt;&gt;"Serviço",0,IF(AND(AUTOEVENTO="Manual",$M206=1),0,IF(OFFSET(CRONOPLE!$F$14,$M206,AV$13)="",10^12,OFFSET(CRONOPLE!$F$14,$M206,AV$13))))</f>
        <v>1000000000000</v>
      </c>
      <c r="AX206" s="216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6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6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6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6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6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6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6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6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6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37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5" t="str">
        <f ca="1">OFFSET(ORÇAMENTO!N$15,ROW(D207)-ROW(D$15),0)</f>
        <v>Serviço</v>
      </c>
      <c r="E207" s="205" t="str">
        <f ca="1">OFFSET(ORÇAMENTO!O$15,ROW(E207)-ROW(E$15),0)</f>
        <v>-</v>
      </c>
      <c r="F207" s="206" t="str">
        <f ca="1">OFFSET(ORÇAMENTO!R$15,ROW(F207)-ROW(F$15),0)</f>
        <v>(abra o arquivo 'Referência 05-2023.xls)</v>
      </c>
      <c r="G207" s="207" t="str">
        <f ca="1">IF($D207&lt;&gt;"Serviço","",OFFSET(ORÇAMENTO!S$15,ROW(G207)-ROW(G$15),0))</f>
        <v>-</v>
      </c>
      <c r="H207" s="151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1"/>
      <c r="K207" s="208"/>
      <c r="L207" s="209" t="s">
        <v>254</v>
      </c>
      <c r="M207" s="210">
        <f ca="1">IF($D207&lt;&gt;"Serviço","",IF(AUTOEVENTO="manual",$A207,IF(ISERROR(MATCH($A207,$A$15:OFFSET($A207,-1,0),0)),MAX($M$15:OFFSET(M207,-1,0))+1,INDEX($M$15:OFFSET(M207,-1,0),MATCH($A207,$A$15:OFFSET($A207,-1,0),0)))))</f>
        <v>5</v>
      </c>
      <c r="N207" s="211" t="str">
        <f ca="1">IF($D207&lt;&gt;"Serviço","",IF(AUTOEVENTO="Manual",IF($A207=0,"&lt;-- defina o número do agrupador",OFFSET(EVENTOS!$D$14,$A207,0)),OFFSET($F$15,$A207,0)))</f>
        <v>PINTURAS E TEXTURAS</v>
      </c>
      <c r="O207" s="212"/>
      <c r="Q207" s="212"/>
      <c r="R207" s="213"/>
      <c r="S207" s="213"/>
      <c r="T207" s="213"/>
      <c r="U207" s="213"/>
      <c r="V207" s="213"/>
      <c r="W207" s="213"/>
      <c r="X207" s="213"/>
      <c r="Y207" s="213"/>
      <c r="Z207" s="214"/>
      <c r="AB207" s="592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3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3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3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3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3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3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3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3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4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5">
        <f ca="1">IF($D207&lt;&gt;"Serviço",0,IF(AND(AUTOEVENTO="Manual",$M207=1),0,IF(OFFSET(CRONOPLE!$F$14,$M207,AM$13)="",10^12,OFFSET(CRONOPLE!$F$14,$M207,AM$13))))</f>
        <v>2</v>
      </c>
      <c r="AN207" s="215">
        <f ca="1">IF($D207&lt;&gt;"Serviço",0,IF(AND(AUTOEVENTO="Manual",$M207=1),0,IF(OFFSET(CRONOPLE!$F$14,$M207,AN$13)="",10^12,OFFSET(CRONOPLE!$F$14,$M207,AN$13))))</f>
        <v>2</v>
      </c>
      <c r="AO207" s="215">
        <f ca="1">IF($D207&lt;&gt;"Serviço",0,IF(AND(AUTOEVENTO="Manual",$M207=1),0,IF(OFFSET(CRONOPLE!$F$14,$M207,AO$13)="",10^12,OFFSET(CRONOPLE!$F$14,$M207,AO$13))))</f>
        <v>3</v>
      </c>
      <c r="AP207" s="215">
        <f ca="1">IF($D207&lt;&gt;"Serviço",0,IF(AND(AUTOEVENTO="Manual",$M207=1),0,IF(OFFSET(CRONOPLE!$F$14,$M207,AP$13)="",10^12,OFFSET(CRONOPLE!$F$14,$M207,AP$13))))</f>
        <v>1000000000000</v>
      </c>
      <c r="AQ207" s="215">
        <f ca="1">IF($D207&lt;&gt;"Serviço",0,IF(AND(AUTOEVENTO="Manual",$M207=1),0,IF(OFFSET(CRONOPLE!$F$14,$M207,AQ$13)="",10^12,OFFSET(CRONOPLE!$F$14,$M207,AQ$13))))</f>
        <v>1000000000000</v>
      </c>
      <c r="AR207" s="215">
        <f ca="1">IF($D207&lt;&gt;"Serviço",0,IF(AND(AUTOEVENTO="Manual",$M207=1),0,IF(OFFSET(CRONOPLE!$F$14,$M207,AR$13)="",10^12,OFFSET(CRONOPLE!$F$14,$M207,AR$13))))</f>
        <v>1000000000000</v>
      </c>
      <c r="AS207" s="215">
        <f ca="1">IF($D207&lt;&gt;"Serviço",0,IF(AND(AUTOEVENTO="Manual",$M207=1),0,IF(OFFSET(CRONOPLE!$F$14,$M207,AS$13)="",10^12,OFFSET(CRONOPLE!$F$14,$M207,AS$13))))</f>
        <v>1000000000000</v>
      </c>
      <c r="AT207" s="215">
        <f ca="1">IF($D207&lt;&gt;"Serviço",0,IF(AND(AUTOEVENTO="Manual",$M207=1),0,IF(OFFSET(CRONOPLE!$F$14,$M207,AT$13)="",10^12,OFFSET(CRONOPLE!$F$14,$M207,AT$13))))</f>
        <v>1000000000000</v>
      </c>
      <c r="AU207" s="215">
        <f ca="1">IF($D207&lt;&gt;"Serviço",0,IF(AND(AUTOEVENTO="Manual",$M207=1),0,IF(OFFSET(CRONOPLE!$F$14,$M207,AU$13)="",10^12,OFFSET(CRONOPLE!$F$14,$M207,AU$13))))</f>
        <v>1000000000000</v>
      </c>
      <c r="AV207" s="215">
        <f ca="1">IF($D207&lt;&gt;"Serviço",0,IF(AND(AUTOEVENTO="Manual",$M207=1),0,IF(OFFSET(CRONOPLE!$F$14,$M207,AV$13)="",10^12,OFFSET(CRONOPLE!$F$14,$M207,AV$13))))</f>
        <v>1000000000000</v>
      </c>
      <c r="AX207" s="216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6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6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6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6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6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6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6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6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6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37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5" t="str">
        <f ca="1">OFFSET(ORÇAMENTO!N$15,ROW(D208)-ROW(D$15),0)</f>
        <v>Serviço</v>
      </c>
      <c r="E208" s="205" t="str">
        <f ca="1">OFFSET(ORÇAMENTO!O$15,ROW(E208)-ROW(E$15),0)</f>
        <v>-</v>
      </c>
      <c r="F208" s="206" t="str">
        <f ca="1">OFFSET(ORÇAMENTO!R$15,ROW(F208)-ROW(F$15),0)</f>
        <v>(abra o arquivo 'Referência 05-2023.xls)</v>
      </c>
      <c r="G208" s="207" t="str">
        <f ca="1">IF($D208&lt;&gt;"Serviço","",OFFSET(ORÇAMENTO!S$15,ROW(G208)-ROW(G$15),0))</f>
        <v>-</v>
      </c>
      <c r="H208" s="151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1"/>
      <c r="K208" s="208"/>
      <c r="L208" s="209" t="s">
        <v>254</v>
      </c>
      <c r="M208" s="210">
        <f ca="1">IF($D208&lt;&gt;"Serviço","",IF(AUTOEVENTO="manual",$A208,IF(ISERROR(MATCH($A208,$A$15:OFFSET($A208,-1,0),0)),MAX($M$15:OFFSET(M208,-1,0))+1,INDEX($M$15:OFFSET(M208,-1,0),MATCH($A208,$A$15:OFFSET($A208,-1,0),0)))))</f>
        <v>5</v>
      </c>
      <c r="N208" s="211" t="str">
        <f ca="1">IF($D208&lt;&gt;"Serviço","",IF(AUTOEVENTO="Manual",IF($A208=0,"&lt;-- defina o número do agrupador",OFFSET(EVENTOS!$D$14,$A208,0)),OFFSET($F$15,$A208,0)))</f>
        <v>PINTURAS E TEXTURAS</v>
      </c>
      <c r="O208" s="212"/>
      <c r="Q208" s="212"/>
      <c r="R208" s="213"/>
      <c r="S208" s="213"/>
      <c r="T208" s="213"/>
      <c r="U208" s="213"/>
      <c r="V208" s="213"/>
      <c r="W208" s="213"/>
      <c r="X208" s="213"/>
      <c r="Y208" s="213"/>
      <c r="Z208" s="214"/>
      <c r="AB208" s="592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3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3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3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3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3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3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3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3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4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5">
        <f ca="1">IF($D208&lt;&gt;"Serviço",0,IF(AND(AUTOEVENTO="Manual",$M208=1),0,IF(OFFSET(CRONOPLE!$F$14,$M208,AM$13)="",10^12,OFFSET(CRONOPLE!$F$14,$M208,AM$13))))</f>
        <v>2</v>
      </c>
      <c r="AN208" s="215">
        <f ca="1">IF($D208&lt;&gt;"Serviço",0,IF(AND(AUTOEVENTO="Manual",$M208=1),0,IF(OFFSET(CRONOPLE!$F$14,$M208,AN$13)="",10^12,OFFSET(CRONOPLE!$F$14,$M208,AN$13))))</f>
        <v>2</v>
      </c>
      <c r="AO208" s="215">
        <f ca="1">IF($D208&lt;&gt;"Serviço",0,IF(AND(AUTOEVENTO="Manual",$M208=1),0,IF(OFFSET(CRONOPLE!$F$14,$M208,AO$13)="",10^12,OFFSET(CRONOPLE!$F$14,$M208,AO$13))))</f>
        <v>3</v>
      </c>
      <c r="AP208" s="215">
        <f ca="1">IF($D208&lt;&gt;"Serviço",0,IF(AND(AUTOEVENTO="Manual",$M208=1),0,IF(OFFSET(CRONOPLE!$F$14,$M208,AP$13)="",10^12,OFFSET(CRONOPLE!$F$14,$M208,AP$13))))</f>
        <v>1000000000000</v>
      </c>
      <c r="AQ208" s="215">
        <f ca="1">IF($D208&lt;&gt;"Serviço",0,IF(AND(AUTOEVENTO="Manual",$M208=1),0,IF(OFFSET(CRONOPLE!$F$14,$M208,AQ$13)="",10^12,OFFSET(CRONOPLE!$F$14,$M208,AQ$13))))</f>
        <v>1000000000000</v>
      </c>
      <c r="AR208" s="215">
        <f ca="1">IF($D208&lt;&gt;"Serviço",0,IF(AND(AUTOEVENTO="Manual",$M208=1),0,IF(OFFSET(CRONOPLE!$F$14,$M208,AR$13)="",10^12,OFFSET(CRONOPLE!$F$14,$M208,AR$13))))</f>
        <v>1000000000000</v>
      </c>
      <c r="AS208" s="215">
        <f ca="1">IF($D208&lt;&gt;"Serviço",0,IF(AND(AUTOEVENTO="Manual",$M208=1),0,IF(OFFSET(CRONOPLE!$F$14,$M208,AS$13)="",10^12,OFFSET(CRONOPLE!$F$14,$M208,AS$13))))</f>
        <v>1000000000000</v>
      </c>
      <c r="AT208" s="215">
        <f ca="1">IF($D208&lt;&gt;"Serviço",0,IF(AND(AUTOEVENTO="Manual",$M208=1),0,IF(OFFSET(CRONOPLE!$F$14,$M208,AT$13)="",10^12,OFFSET(CRONOPLE!$F$14,$M208,AT$13))))</f>
        <v>1000000000000</v>
      </c>
      <c r="AU208" s="215">
        <f ca="1">IF($D208&lt;&gt;"Serviço",0,IF(AND(AUTOEVENTO="Manual",$M208=1),0,IF(OFFSET(CRONOPLE!$F$14,$M208,AU$13)="",10^12,OFFSET(CRONOPLE!$F$14,$M208,AU$13))))</f>
        <v>1000000000000</v>
      </c>
      <c r="AV208" s="215">
        <f ca="1">IF($D208&lt;&gt;"Serviço",0,IF(AND(AUTOEVENTO="Manual",$M208=1),0,IF(OFFSET(CRONOPLE!$F$14,$M208,AV$13)="",10^12,OFFSET(CRONOPLE!$F$14,$M208,AV$13))))</f>
        <v>1000000000000</v>
      </c>
      <c r="AX208" s="216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6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6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6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6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6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6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6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6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6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37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5" t="str">
        <f ca="1">OFFSET(ORÇAMENTO!N$15,ROW(D209)-ROW(D$15),0)</f>
        <v>Serviço</v>
      </c>
      <c r="E209" s="205" t="str">
        <f ca="1">OFFSET(ORÇAMENTO!O$15,ROW(E209)-ROW(E$15),0)</f>
        <v>-</v>
      </c>
      <c r="F209" s="206" t="str">
        <f ca="1">OFFSET(ORÇAMENTO!R$15,ROW(F209)-ROW(F$15),0)</f>
        <v>(abra o arquivo 'Referência 05-2023.xls)</v>
      </c>
      <c r="G209" s="207" t="str">
        <f ca="1">IF($D209&lt;&gt;"Serviço","",OFFSET(ORÇAMENTO!S$15,ROW(G209)-ROW(G$15),0))</f>
        <v>-</v>
      </c>
      <c r="H209" s="151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1"/>
      <c r="K209" s="208"/>
      <c r="L209" s="209" t="s">
        <v>254</v>
      </c>
      <c r="M209" s="210">
        <f ca="1">IF($D209&lt;&gt;"Serviço","",IF(AUTOEVENTO="manual",$A209,IF(ISERROR(MATCH($A209,$A$15:OFFSET($A209,-1,0),0)),MAX($M$15:OFFSET(M209,-1,0))+1,INDEX($M$15:OFFSET(M209,-1,0),MATCH($A209,$A$15:OFFSET($A209,-1,0),0)))))</f>
        <v>5</v>
      </c>
      <c r="N209" s="211" t="str">
        <f ca="1">IF($D209&lt;&gt;"Serviço","",IF(AUTOEVENTO="Manual",IF($A209=0,"&lt;-- defina o número do agrupador",OFFSET(EVENTOS!$D$14,$A209,0)),OFFSET($F$15,$A209,0)))</f>
        <v>PINTURAS E TEXTURAS</v>
      </c>
      <c r="O209" s="212"/>
      <c r="Q209" s="212"/>
      <c r="R209" s="213"/>
      <c r="S209" s="213"/>
      <c r="T209" s="213"/>
      <c r="U209" s="213"/>
      <c r="V209" s="213"/>
      <c r="W209" s="213"/>
      <c r="X209" s="213"/>
      <c r="Y209" s="213"/>
      <c r="Z209" s="214"/>
      <c r="AB209" s="592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3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3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3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3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3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3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3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3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4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5">
        <f ca="1">IF($D209&lt;&gt;"Serviço",0,IF(AND(AUTOEVENTO="Manual",$M209=1),0,IF(OFFSET(CRONOPLE!$F$14,$M209,AM$13)="",10^12,OFFSET(CRONOPLE!$F$14,$M209,AM$13))))</f>
        <v>2</v>
      </c>
      <c r="AN209" s="215">
        <f ca="1">IF($D209&lt;&gt;"Serviço",0,IF(AND(AUTOEVENTO="Manual",$M209=1),0,IF(OFFSET(CRONOPLE!$F$14,$M209,AN$13)="",10^12,OFFSET(CRONOPLE!$F$14,$M209,AN$13))))</f>
        <v>2</v>
      </c>
      <c r="AO209" s="215">
        <f ca="1">IF($D209&lt;&gt;"Serviço",0,IF(AND(AUTOEVENTO="Manual",$M209=1),0,IF(OFFSET(CRONOPLE!$F$14,$M209,AO$13)="",10^12,OFFSET(CRONOPLE!$F$14,$M209,AO$13))))</f>
        <v>3</v>
      </c>
      <c r="AP209" s="215">
        <f ca="1">IF($D209&lt;&gt;"Serviço",0,IF(AND(AUTOEVENTO="Manual",$M209=1),0,IF(OFFSET(CRONOPLE!$F$14,$M209,AP$13)="",10^12,OFFSET(CRONOPLE!$F$14,$M209,AP$13))))</f>
        <v>1000000000000</v>
      </c>
      <c r="AQ209" s="215">
        <f ca="1">IF($D209&lt;&gt;"Serviço",0,IF(AND(AUTOEVENTO="Manual",$M209=1),0,IF(OFFSET(CRONOPLE!$F$14,$M209,AQ$13)="",10^12,OFFSET(CRONOPLE!$F$14,$M209,AQ$13))))</f>
        <v>1000000000000</v>
      </c>
      <c r="AR209" s="215">
        <f ca="1">IF($D209&lt;&gt;"Serviço",0,IF(AND(AUTOEVENTO="Manual",$M209=1),0,IF(OFFSET(CRONOPLE!$F$14,$M209,AR$13)="",10^12,OFFSET(CRONOPLE!$F$14,$M209,AR$13))))</f>
        <v>1000000000000</v>
      </c>
      <c r="AS209" s="215">
        <f ca="1">IF($D209&lt;&gt;"Serviço",0,IF(AND(AUTOEVENTO="Manual",$M209=1),0,IF(OFFSET(CRONOPLE!$F$14,$M209,AS$13)="",10^12,OFFSET(CRONOPLE!$F$14,$M209,AS$13))))</f>
        <v>1000000000000</v>
      </c>
      <c r="AT209" s="215">
        <f ca="1">IF($D209&lt;&gt;"Serviço",0,IF(AND(AUTOEVENTO="Manual",$M209=1),0,IF(OFFSET(CRONOPLE!$F$14,$M209,AT$13)="",10^12,OFFSET(CRONOPLE!$F$14,$M209,AT$13))))</f>
        <v>1000000000000</v>
      </c>
      <c r="AU209" s="215">
        <f ca="1">IF($D209&lt;&gt;"Serviço",0,IF(AND(AUTOEVENTO="Manual",$M209=1),0,IF(OFFSET(CRONOPLE!$F$14,$M209,AU$13)="",10^12,OFFSET(CRONOPLE!$F$14,$M209,AU$13))))</f>
        <v>1000000000000</v>
      </c>
      <c r="AV209" s="215">
        <f ca="1">IF($D209&lt;&gt;"Serviço",0,IF(AND(AUTOEVENTO="Manual",$M209=1),0,IF(OFFSET(CRONOPLE!$F$14,$M209,AV$13)="",10^12,OFFSET(CRONOPLE!$F$14,$M209,AV$13))))</f>
        <v>1000000000000</v>
      </c>
      <c r="AX209" s="216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6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6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6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6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6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6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6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6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6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37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5" t="str">
        <f ca="1">OFFSET(ORÇAMENTO!N$15,ROW(D210)-ROW(D$15),0)</f>
        <v>Serviço</v>
      </c>
      <c r="E210" s="205" t="str">
        <f ca="1">OFFSET(ORÇAMENTO!O$15,ROW(E210)-ROW(E$15),0)</f>
        <v>-</v>
      </c>
      <c r="F210" s="206" t="str">
        <f ca="1">OFFSET(ORÇAMENTO!R$15,ROW(F210)-ROW(F$15),0)</f>
        <v>(abra o arquivo 'Referência 05-2023.xls)</v>
      </c>
      <c r="G210" s="207" t="str">
        <f ca="1">IF($D210&lt;&gt;"Serviço","",OFFSET(ORÇAMENTO!S$15,ROW(G210)-ROW(G$15),0))</f>
        <v>-</v>
      </c>
      <c r="H210" s="151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1"/>
      <c r="K210" s="208"/>
      <c r="L210" s="209" t="s">
        <v>254</v>
      </c>
      <c r="M210" s="210">
        <f ca="1">IF($D210&lt;&gt;"Serviço","",IF(AUTOEVENTO="manual",$A210,IF(ISERROR(MATCH($A210,$A$15:OFFSET($A210,-1,0),0)),MAX($M$15:OFFSET(M210,-1,0))+1,INDEX($M$15:OFFSET(M210,-1,0),MATCH($A210,$A$15:OFFSET($A210,-1,0),0)))))</f>
        <v>5</v>
      </c>
      <c r="N210" s="211" t="str">
        <f ca="1">IF($D210&lt;&gt;"Serviço","",IF(AUTOEVENTO="Manual",IF($A210=0,"&lt;-- defina o número do agrupador",OFFSET(EVENTOS!$D$14,$A210,0)),OFFSET($F$15,$A210,0)))</f>
        <v>PINTURAS E TEXTURAS</v>
      </c>
      <c r="O210" s="212"/>
      <c r="Q210" s="212"/>
      <c r="R210" s="213"/>
      <c r="S210" s="213"/>
      <c r="T210" s="213"/>
      <c r="U210" s="213"/>
      <c r="V210" s="213"/>
      <c r="W210" s="213"/>
      <c r="X210" s="213"/>
      <c r="Y210" s="213"/>
      <c r="Z210" s="214"/>
      <c r="AB210" s="592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3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3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3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3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3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3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3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3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4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5">
        <f ca="1">IF($D210&lt;&gt;"Serviço",0,IF(AND(AUTOEVENTO="Manual",$M210=1),0,IF(OFFSET(CRONOPLE!$F$14,$M210,AM$13)="",10^12,OFFSET(CRONOPLE!$F$14,$M210,AM$13))))</f>
        <v>2</v>
      </c>
      <c r="AN210" s="215">
        <f ca="1">IF($D210&lt;&gt;"Serviço",0,IF(AND(AUTOEVENTO="Manual",$M210=1),0,IF(OFFSET(CRONOPLE!$F$14,$M210,AN$13)="",10^12,OFFSET(CRONOPLE!$F$14,$M210,AN$13))))</f>
        <v>2</v>
      </c>
      <c r="AO210" s="215">
        <f ca="1">IF($D210&lt;&gt;"Serviço",0,IF(AND(AUTOEVENTO="Manual",$M210=1),0,IF(OFFSET(CRONOPLE!$F$14,$M210,AO$13)="",10^12,OFFSET(CRONOPLE!$F$14,$M210,AO$13))))</f>
        <v>3</v>
      </c>
      <c r="AP210" s="215">
        <f ca="1">IF($D210&lt;&gt;"Serviço",0,IF(AND(AUTOEVENTO="Manual",$M210=1),0,IF(OFFSET(CRONOPLE!$F$14,$M210,AP$13)="",10^12,OFFSET(CRONOPLE!$F$14,$M210,AP$13))))</f>
        <v>1000000000000</v>
      </c>
      <c r="AQ210" s="215">
        <f ca="1">IF($D210&lt;&gt;"Serviço",0,IF(AND(AUTOEVENTO="Manual",$M210=1),0,IF(OFFSET(CRONOPLE!$F$14,$M210,AQ$13)="",10^12,OFFSET(CRONOPLE!$F$14,$M210,AQ$13))))</f>
        <v>1000000000000</v>
      </c>
      <c r="AR210" s="215">
        <f ca="1">IF($D210&lt;&gt;"Serviço",0,IF(AND(AUTOEVENTO="Manual",$M210=1),0,IF(OFFSET(CRONOPLE!$F$14,$M210,AR$13)="",10^12,OFFSET(CRONOPLE!$F$14,$M210,AR$13))))</f>
        <v>1000000000000</v>
      </c>
      <c r="AS210" s="215">
        <f ca="1">IF($D210&lt;&gt;"Serviço",0,IF(AND(AUTOEVENTO="Manual",$M210=1),0,IF(OFFSET(CRONOPLE!$F$14,$M210,AS$13)="",10^12,OFFSET(CRONOPLE!$F$14,$M210,AS$13))))</f>
        <v>1000000000000</v>
      </c>
      <c r="AT210" s="215">
        <f ca="1">IF($D210&lt;&gt;"Serviço",0,IF(AND(AUTOEVENTO="Manual",$M210=1),0,IF(OFFSET(CRONOPLE!$F$14,$M210,AT$13)="",10^12,OFFSET(CRONOPLE!$F$14,$M210,AT$13))))</f>
        <v>1000000000000</v>
      </c>
      <c r="AU210" s="215">
        <f ca="1">IF($D210&lt;&gt;"Serviço",0,IF(AND(AUTOEVENTO="Manual",$M210=1),0,IF(OFFSET(CRONOPLE!$F$14,$M210,AU$13)="",10^12,OFFSET(CRONOPLE!$F$14,$M210,AU$13))))</f>
        <v>1000000000000</v>
      </c>
      <c r="AV210" s="215">
        <f ca="1">IF($D210&lt;&gt;"Serviço",0,IF(AND(AUTOEVENTO="Manual",$M210=1),0,IF(OFFSET(CRONOPLE!$F$14,$M210,AV$13)="",10^12,OFFSET(CRONOPLE!$F$14,$M210,AV$13))))</f>
        <v>1000000000000</v>
      </c>
      <c r="AX210" s="216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6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6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6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6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6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6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6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6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6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37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5" t="str">
        <f ca="1">OFFSET(ORÇAMENTO!N$15,ROW(D211)-ROW(D$15),0)</f>
        <v>Serviço</v>
      </c>
      <c r="E211" s="205" t="str">
        <f ca="1">OFFSET(ORÇAMENTO!O$15,ROW(E211)-ROW(E$15),0)</f>
        <v>-</v>
      </c>
      <c r="F211" s="206" t="str">
        <f ca="1">OFFSET(ORÇAMENTO!R$15,ROW(F211)-ROW(F$15),0)</f>
        <v>(abra o arquivo 'Referência 05-2023.xls)</v>
      </c>
      <c r="G211" s="207" t="str">
        <f ca="1">IF($D211&lt;&gt;"Serviço","",OFFSET(ORÇAMENTO!S$15,ROW(G211)-ROW(G$15),0))</f>
        <v>-</v>
      </c>
      <c r="H211" s="151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1"/>
      <c r="K211" s="208"/>
      <c r="L211" s="209" t="s">
        <v>254</v>
      </c>
      <c r="M211" s="210">
        <f ca="1">IF($D211&lt;&gt;"Serviço","",IF(AUTOEVENTO="manual",$A211,IF(ISERROR(MATCH($A211,$A$15:OFFSET($A211,-1,0),0)),MAX($M$15:OFFSET(M211,-1,0))+1,INDEX($M$15:OFFSET(M211,-1,0),MATCH($A211,$A$15:OFFSET($A211,-1,0),0)))))</f>
        <v>5</v>
      </c>
      <c r="N211" s="211" t="str">
        <f ca="1">IF($D211&lt;&gt;"Serviço","",IF(AUTOEVENTO="Manual",IF($A211=0,"&lt;-- defina o número do agrupador",OFFSET(EVENTOS!$D$14,$A211,0)),OFFSET($F$15,$A211,0)))</f>
        <v>PINTURAS E TEXTURAS</v>
      </c>
      <c r="O211" s="212"/>
      <c r="Q211" s="212"/>
      <c r="R211" s="213"/>
      <c r="S211" s="213"/>
      <c r="T211" s="213"/>
      <c r="U211" s="213"/>
      <c r="V211" s="213"/>
      <c r="W211" s="213"/>
      <c r="X211" s="213"/>
      <c r="Y211" s="213"/>
      <c r="Z211" s="214"/>
      <c r="AB211" s="592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3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3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3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3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3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3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3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3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4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5">
        <f ca="1">IF($D211&lt;&gt;"Serviço",0,IF(AND(AUTOEVENTO="Manual",$M211=1),0,IF(OFFSET(CRONOPLE!$F$14,$M211,AM$13)="",10^12,OFFSET(CRONOPLE!$F$14,$M211,AM$13))))</f>
        <v>2</v>
      </c>
      <c r="AN211" s="215">
        <f ca="1">IF($D211&lt;&gt;"Serviço",0,IF(AND(AUTOEVENTO="Manual",$M211=1),0,IF(OFFSET(CRONOPLE!$F$14,$M211,AN$13)="",10^12,OFFSET(CRONOPLE!$F$14,$M211,AN$13))))</f>
        <v>2</v>
      </c>
      <c r="AO211" s="215">
        <f ca="1">IF($D211&lt;&gt;"Serviço",0,IF(AND(AUTOEVENTO="Manual",$M211=1),0,IF(OFFSET(CRONOPLE!$F$14,$M211,AO$13)="",10^12,OFFSET(CRONOPLE!$F$14,$M211,AO$13))))</f>
        <v>3</v>
      </c>
      <c r="AP211" s="215">
        <f ca="1">IF($D211&lt;&gt;"Serviço",0,IF(AND(AUTOEVENTO="Manual",$M211=1),0,IF(OFFSET(CRONOPLE!$F$14,$M211,AP$13)="",10^12,OFFSET(CRONOPLE!$F$14,$M211,AP$13))))</f>
        <v>1000000000000</v>
      </c>
      <c r="AQ211" s="215">
        <f ca="1">IF($D211&lt;&gt;"Serviço",0,IF(AND(AUTOEVENTO="Manual",$M211=1),0,IF(OFFSET(CRONOPLE!$F$14,$M211,AQ$13)="",10^12,OFFSET(CRONOPLE!$F$14,$M211,AQ$13))))</f>
        <v>1000000000000</v>
      </c>
      <c r="AR211" s="215">
        <f ca="1">IF($D211&lt;&gt;"Serviço",0,IF(AND(AUTOEVENTO="Manual",$M211=1),0,IF(OFFSET(CRONOPLE!$F$14,$M211,AR$13)="",10^12,OFFSET(CRONOPLE!$F$14,$M211,AR$13))))</f>
        <v>1000000000000</v>
      </c>
      <c r="AS211" s="215">
        <f ca="1">IF($D211&lt;&gt;"Serviço",0,IF(AND(AUTOEVENTO="Manual",$M211=1),0,IF(OFFSET(CRONOPLE!$F$14,$M211,AS$13)="",10^12,OFFSET(CRONOPLE!$F$14,$M211,AS$13))))</f>
        <v>1000000000000</v>
      </c>
      <c r="AT211" s="215">
        <f ca="1">IF($D211&lt;&gt;"Serviço",0,IF(AND(AUTOEVENTO="Manual",$M211=1),0,IF(OFFSET(CRONOPLE!$F$14,$M211,AT$13)="",10^12,OFFSET(CRONOPLE!$F$14,$M211,AT$13))))</f>
        <v>1000000000000</v>
      </c>
      <c r="AU211" s="215">
        <f ca="1">IF($D211&lt;&gt;"Serviço",0,IF(AND(AUTOEVENTO="Manual",$M211=1),0,IF(OFFSET(CRONOPLE!$F$14,$M211,AU$13)="",10^12,OFFSET(CRONOPLE!$F$14,$M211,AU$13))))</f>
        <v>1000000000000</v>
      </c>
      <c r="AV211" s="215">
        <f ca="1">IF($D211&lt;&gt;"Serviço",0,IF(AND(AUTOEVENTO="Manual",$M211=1),0,IF(OFFSET(CRONOPLE!$F$14,$M211,AV$13)="",10^12,OFFSET(CRONOPLE!$F$14,$M211,AV$13))))</f>
        <v>1000000000000</v>
      </c>
      <c r="AX211" s="216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6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6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6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6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6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6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6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6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6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37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5" t="str">
        <f ca="1">OFFSET(ORÇAMENTO!N$15,ROW(D212)-ROW(D$15),0)</f>
        <v>Serviço</v>
      </c>
      <c r="E212" s="205" t="str">
        <f ca="1">OFFSET(ORÇAMENTO!O$15,ROW(E212)-ROW(E$15),0)</f>
        <v>-</v>
      </c>
      <c r="F212" s="206" t="str">
        <f ca="1">OFFSET(ORÇAMENTO!R$15,ROW(F212)-ROW(F$15),0)</f>
        <v>(abra o arquivo 'Referência 05-2023.xls)</v>
      </c>
      <c r="G212" s="207" t="str">
        <f ca="1">IF($D212&lt;&gt;"Serviço","",OFFSET(ORÇAMENTO!S$15,ROW(G212)-ROW(G$15),0))</f>
        <v>-</v>
      </c>
      <c r="H212" s="151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1"/>
      <c r="K212" s="208"/>
      <c r="L212" s="209" t="s">
        <v>254</v>
      </c>
      <c r="M212" s="210">
        <f ca="1">IF($D212&lt;&gt;"Serviço","",IF(AUTOEVENTO="manual",$A212,IF(ISERROR(MATCH($A212,$A$15:OFFSET($A212,-1,0),0)),MAX($M$15:OFFSET(M212,-1,0))+1,INDEX($M$15:OFFSET(M212,-1,0),MATCH($A212,$A$15:OFFSET($A212,-1,0),0)))))</f>
        <v>5</v>
      </c>
      <c r="N212" s="211" t="str">
        <f ca="1">IF($D212&lt;&gt;"Serviço","",IF(AUTOEVENTO="Manual",IF($A212=0,"&lt;-- defina o número do agrupador",OFFSET(EVENTOS!$D$14,$A212,0)),OFFSET($F$15,$A212,0)))</f>
        <v>PINTURAS E TEXTURAS</v>
      </c>
      <c r="O212" s="212"/>
      <c r="Q212" s="212"/>
      <c r="R212" s="213"/>
      <c r="S212" s="213"/>
      <c r="T212" s="213"/>
      <c r="U212" s="213"/>
      <c r="V212" s="213"/>
      <c r="W212" s="213"/>
      <c r="X212" s="213"/>
      <c r="Y212" s="213"/>
      <c r="Z212" s="214"/>
      <c r="AB212" s="592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3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3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3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3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3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3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3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3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4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5">
        <f ca="1">IF($D212&lt;&gt;"Serviço",0,IF(AND(AUTOEVENTO="Manual",$M212=1),0,IF(OFFSET(CRONOPLE!$F$14,$M212,AM$13)="",10^12,OFFSET(CRONOPLE!$F$14,$M212,AM$13))))</f>
        <v>2</v>
      </c>
      <c r="AN212" s="215">
        <f ca="1">IF($D212&lt;&gt;"Serviço",0,IF(AND(AUTOEVENTO="Manual",$M212=1),0,IF(OFFSET(CRONOPLE!$F$14,$M212,AN$13)="",10^12,OFFSET(CRONOPLE!$F$14,$M212,AN$13))))</f>
        <v>2</v>
      </c>
      <c r="AO212" s="215">
        <f ca="1">IF($D212&lt;&gt;"Serviço",0,IF(AND(AUTOEVENTO="Manual",$M212=1),0,IF(OFFSET(CRONOPLE!$F$14,$M212,AO$13)="",10^12,OFFSET(CRONOPLE!$F$14,$M212,AO$13))))</f>
        <v>3</v>
      </c>
      <c r="AP212" s="215">
        <f ca="1">IF($D212&lt;&gt;"Serviço",0,IF(AND(AUTOEVENTO="Manual",$M212=1),0,IF(OFFSET(CRONOPLE!$F$14,$M212,AP$13)="",10^12,OFFSET(CRONOPLE!$F$14,$M212,AP$13))))</f>
        <v>1000000000000</v>
      </c>
      <c r="AQ212" s="215">
        <f ca="1">IF($D212&lt;&gt;"Serviço",0,IF(AND(AUTOEVENTO="Manual",$M212=1),0,IF(OFFSET(CRONOPLE!$F$14,$M212,AQ$13)="",10^12,OFFSET(CRONOPLE!$F$14,$M212,AQ$13))))</f>
        <v>1000000000000</v>
      </c>
      <c r="AR212" s="215">
        <f ca="1">IF($D212&lt;&gt;"Serviço",0,IF(AND(AUTOEVENTO="Manual",$M212=1),0,IF(OFFSET(CRONOPLE!$F$14,$M212,AR$13)="",10^12,OFFSET(CRONOPLE!$F$14,$M212,AR$13))))</f>
        <v>1000000000000</v>
      </c>
      <c r="AS212" s="215">
        <f ca="1">IF($D212&lt;&gt;"Serviço",0,IF(AND(AUTOEVENTO="Manual",$M212=1),0,IF(OFFSET(CRONOPLE!$F$14,$M212,AS$13)="",10^12,OFFSET(CRONOPLE!$F$14,$M212,AS$13))))</f>
        <v>1000000000000</v>
      </c>
      <c r="AT212" s="215">
        <f ca="1">IF($D212&lt;&gt;"Serviço",0,IF(AND(AUTOEVENTO="Manual",$M212=1),0,IF(OFFSET(CRONOPLE!$F$14,$M212,AT$13)="",10^12,OFFSET(CRONOPLE!$F$14,$M212,AT$13))))</f>
        <v>1000000000000</v>
      </c>
      <c r="AU212" s="215">
        <f ca="1">IF($D212&lt;&gt;"Serviço",0,IF(AND(AUTOEVENTO="Manual",$M212=1),0,IF(OFFSET(CRONOPLE!$F$14,$M212,AU$13)="",10^12,OFFSET(CRONOPLE!$F$14,$M212,AU$13))))</f>
        <v>1000000000000</v>
      </c>
      <c r="AV212" s="215">
        <f ca="1">IF($D212&lt;&gt;"Serviço",0,IF(AND(AUTOEVENTO="Manual",$M212=1),0,IF(OFFSET(CRONOPLE!$F$14,$M212,AV$13)="",10^12,OFFSET(CRONOPLE!$F$14,$M212,AV$13))))</f>
        <v>1000000000000</v>
      </c>
      <c r="AX212" s="216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6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6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6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6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6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6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6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6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6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37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5" t="str">
        <f ca="1">OFFSET(ORÇAMENTO!N$15,ROW(D213)-ROW(D$15),0)</f>
        <v>Serviço</v>
      </c>
      <c r="E213" s="205" t="str">
        <f ca="1">OFFSET(ORÇAMENTO!O$15,ROW(E213)-ROW(E$15),0)</f>
        <v>-</v>
      </c>
      <c r="F213" s="206" t="str">
        <f ca="1">OFFSET(ORÇAMENTO!R$15,ROW(F213)-ROW(F$15),0)</f>
        <v>(abra o arquivo 'Referência 05-2023.xls)</v>
      </c>
      <c r="G213" s="207" t="str">
        <f ca="1">IF($D213&lt;&gt;"Serviço","",OFFSET(ORÇAMENTO!S$15,ROW(G213)-ROW(G$15),0))</f>
        <v>-</v>
      </c>
      <c r="H213" s="151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1"/>
      <c r="K213" s="208"/>
      <c r="L213" s="209" t="s">
        <v>254</v>
      </c>
      <c r="M213" s="210">
        <f ca="1">IF($D213&lt;&gt;"Serviço","",IF(AUTOEVENTO="manual",$A213,IF(ISERROR(MATCH($A213,$A$15:OFFSET($A213,-1,0),0)),MAX($M$15:OFFSET(M213,-1,0))+1,INDEX($M$15:OFFSET(M213,-1,0),MATCH($A213,$A$15:OFFSET($A213,-1,0),0)))))</f>
        <v>5</v>
      </c>
      <c r="N213" s="211" t="str">
        <f ca="1">IF($D213&lt;&gt;"Serviço","",IF(AUTOEVENTO="Manual",IF($A213=0,"&lt;-- defina o número do agrupador",OFFSET(EVENTOS!$D$14,$A213,0)),OFFSET($F$15,$A213,0)))</f>
        <v>PINTURAS E TEXTURAS</v>
      </c>
      <c r="O213" s="212"/>
      <c r="Q213" s="212"/>
      <c r="R213" s="213"/>
      <c r="S213" s="213"/>
      <c r="T213" s="213"/>
      <c r="U213" s="213"/>
      <c r="V213" s="213"/>
      <c r="W213" s="213"/>
      <c r="X213" s="213"/>
      <c r="Y213" s="213"/>
      <c r="Z213" s="214"/>
      <c r="AB213" s="592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3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3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3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3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3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3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3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3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4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5">
        <f ca="1">IF($D213&lt;&gt;"Serviço",0,IF(AND(AUTOEVENTO="Manual",$M213=1),0,IF(OFFSET(CRONOPLE!$F$14,$M213,AM$13)="",10^12,OFFSET(CRONOPLE!$F$14,$M213,AM$13))))</f>
        <v>2</v>
      </c>
      <c r="AN213" s="215">
        <f ca="1">IF($D213&lt;&gt;"Serviço",0,IF(AND(AUTOEVENTO="Manual",$M213=1),0,IF(OFFSET(CRONOPLE!$F$14,$M213,AN$13)="",10^12,OFFSET(CRONOPLE!$F$14,$M213,AN$13))))</f>
        <v>2</v>
      </c>
      <c r="AO213" s="215">
        <f ca="1">IF($D213&lt;&gt;"Serviço",0,IF(AND(AUTOEVENTO="Manual",$M213=1),0,IF(OFFSET(CRONOPLE!$F$14,$M213,AO$13)="",10^12,OFFSET(CRONOPLE!$F$14,$M213,AO$13))))</f>
        <v>3</v>
      </c>
      <c r="AP213" s="215">
        <f ca="1">IF($D213&lt;&gt;"Serviço",0,IF(AND(AUTOEVENTO="Manual",$M213=1),0,IF(OFFSET(CRONOPLE!$F$14,$M213,AP$13)="",10^12,OFFSET(CRONOPLE!$F$14,$M213,AP$13))))</f>
        <v>1000000000000</v>
      </c>
      <c r="AQ213" s="215">
        <f ca="1">IF($D213&lt;&gt;"Serviço",0,IF(AND(AUTOEVENTO="Manual",$M213=1),0,IF(OFFSET(CRONOPLE!$F$14,$M213,AQ$13)="",10^12,OFFSET(CRONOPLE!$F$14,$M213,AQ$13))))</f>
        <v>1000000000000</v>
      </c>
      <c r="AR213" s="215">
        <f ca="1">IF($D213&lt;&gt;"Serviço",0,IF(AND(AUTOEVENTO="Manual",$M213=1),0,IF(OFFSET(CRONOPLE!$F$14,$M213,AR$13)="",10^12,OFFSET(CRONOPLE!$F$14,$M213,AR$13))))</f>
        <v>1000000000000</v>
      </c>
      <c r="AS213" s="215">
        <f ca="1">IF($D213&lt;&gt;"Serviço",0,IF(AND(AUTOEVENTO="Manual",$M213=1),0,IF(OFFSET(CRONOPLE!$F$14,$M213,AS$13)="",10^12,OFFSET(CRONOPLE!$F$14,$M213,AS$13))))</f>
        <v>1000000000000</v>
      </c>
      <c r="AT213" s="215">
        <f ca="1">IF($D213&lt;&gt;"Serviço",0,IF(AND(AUTOEVENTO="Manual",$M213=1),0,IF(OFFSET(CRONOPLE!$F$14,$M213,AT$13)="",10^12,OFFSET(CRONOPLE!$F$14,$M213,AT$13))))</f>
        <v>1000000000000</v>
      </c>
      <c r="AU213" s="215">
        <f ca="1">IF($D213&lt;&gt;"Serviço",0,IF(AND(AUTOEVENTO="Manual",$M213=1),0,IF(OFFSET(CRONOPLE!$F$14,$M213,AU$13)="",10^12,OFFSET(CRONOPLE!$F$14,$M213,AU$13))))</f>
        <v>1000000000000</v>
      </c>
      <c r="AV213" s="215">
        <f ca="1">IF($D213&lt;&gt;"Serviço",0,IF(AND(AUTOEVENTO="Manual",$M213=1),0,IF(OFFSET(CRONOPLE!$F$14,$M213,AV$13)="",10^12,OFFSET(CRONOPLE!$F$14,$M213,AV$13))))</f>
        <v>1000000000000</v>
      </c>
      <c r="AX213" s="216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6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6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6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6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6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6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6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6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6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37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5" t="str">
        <f ca="1">OFFSET(ORÇAMENTO!N$15,ROW(D214)-ROW(D$15),0)</f>
        <v>Serviço</v>
      </c>
      <c r="E214" s="205" t="str">
        <f ca="1">OFFSET(ORÇAMENTO!O$15,ROW(E214)-ROW(E$15),0)</f>
        <v>-</v>
      </c>
      <c r="F214" s="206" t="str">
        <f ca="1">OFFSET(ORÇAMENTO!R$15,ROW(F214)-ROW(F$15),0)</f>
        <v>(abra o arquivo 'Referência 05-2023.xls)</v>
      </c>
      <c r="G214" s="207" t="str">
        <f ca="1">IF($D214&lt;&gt;"Serviço","",OFFSET(ORÇAMENTO!S$15,ROW(G214)-ROW(G$15),0))</f>
        <v>-</v>
      </c>
      <c r="H214" s="151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1"/>
      <c r="K214" s="208"/>
      <c r="L214" s="209" t="s">
        <v>254</v>
      </c>
      <c r="M214" s="210">
        <f ca="1">IF($D214&lt;&gt;"Serviço","",IF(AUTOEVENTO="manual",$A214,IF(ISERROR(MATCH($A214,$A$15:OFFSET($A214,-1,0),0)),MAX($M$15:OFFSET(M214,-1,0))+1,INDEX($M$15:OFFSET(M214,-1,0),MATCH($A214,$A$15:OFFSET($A214,-1,0),0)))))</f>
        <v>5</v>
      </c>
      <c r="N214" s="211" t="str">
        <f ca="1">IF($D214&lt;&gt;"Serviço","",IF(AUTOEVENTO="Manual",IF($A214=0,"&lt;-- defina o número do agrupador",OFFSET(EVENTOS!$D$14,$A214,0)),OFFSET($F$15,$A214,0)))</f>
        <v>PINTURAS E TEXTURAS</v>
      </c>
      <c r="O214" s="212"/>
      <c r="Q214" s="212"/>
      <c r="R214" s="213"/>
      <c r="S214" s="213"/>
      <c r="T214" s="213"/>
      <c r="U214" s="213"/>
      <c r="V214" s="213"/>
      <c r="W214" s="213"/>
      <c r="X214" s="213"/>
      <c r="Y214" s="213"/>
      <c r="Z214" s="214"/>
      <c r="AB214" s="592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3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3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3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3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3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3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3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3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4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5">
        <f ca="1">IF($D214&lt;&gt;"Serviço",0,IF(AND(AUTOEVENTO="Manual",$M214=1),0,IF(OFFSET(CRONOPLE!$F$14,$M214,AM$13)="",10^12,OFFSET(CRONOPLE!$F$14,$M214,AM$13))))</f>
        <v>2</v>
      </c>
      <c r="AN214" s="215">
        <f ca="1">IF($D214&lt;&gt;"Serviço",0,IF(AND(AUTOEVENTO="Manual",$M214=1),0,IF(OFFSET(CRONOPLE!$F$14,$M214,AN$13)="",10^12,OFFSET(CRONOPLE!$F$14,$M214,AN$13))))</f>
        <v>2</v>
      </c>
      <c r="AO214" s="215">
        <f ca="1">IF($D214&lt;&gt;"Serviço",0,IF(AND(AUTOEVENTO="Manual",$M214=1),0,IF(OFFSET(CRONOPLE!$F$14,$M214,AO$13)="",10^12,OFFSET(CRONOPLE!$F$14,$M214,AO$13))))</f>
        <v>3</v>
      </c>
      <c r="AP214" s="215">
        <f ca="1">IF($D214&lt;&gt;"Serviço",0,IF(AND(AUTOEVENTO="Manual",$M214=1),0,IF(OFFSET(CRONOPLE!$F$14,$M214,AP$13)="",10^12,OFFSET(CRONOPLE!$F$14,$M214,AP$13))))</f>
        <v>1000000000000</v>
      </c>
      <c r="AQ214" s="215">
        <f ca="1">IF($D214&lt;&gt;"Serviço",0,IF(AND(AUTOEVENTO="Manual",$M214=1),0,IF(OFFSET(CRONOPLE!$F$14,$M214,AQ$13)="",10^12,OFFSET(CRONOPLE!$F$14,$M214,AQ$13))))</f>
        <v>1000000000000</v>
      </c>
      <c r="AR214" s="215">
        <f ca="1">IF($D214&lt;&gt;"Serviço",0,IF(AND(AUTOEVENTO="Manual",$M214=1),0,IF(OFFSET(CRONOPLE!$F$14,$M214,AR$13)="",10^12,OFFSET(CRONOPLE!$F$14,$M214,AR$13))))</f>
        <v>1000000000000</v>
      </c>
      <c r="AS214" s="215">
        <f ca="1">IF($D214&lt;&gt;"Serviço",0,IF(AND(AUTOEVENTO="Manual",$M214=1),0,IF(OFFSET(CRONOPLE!$F$14,$M214,AS$13)="",10^12,OFFSET(CRONOPLE!$F$14,$M214,AS$13))))</f>
        <v>1000000000000</v>
      </c>
      <c r="AT214" s="215">
        <f ca="1">IF($D214&lt;&gt;"Serviço",0,IF(AND(AUTOEVENTO="Manual",$M214=1),0,IF(OFFSET(CRONOPLE!$F$14,$M214,AT$13)="",10^12,OFFSET(CRONOPLE!$F$14,$M214,AT$13))))</f>
        <v>1000000000000</v>
      </c>
      <c r="AU214" s="215">
        <f ca="1">IF($D214&lt;&gt;"Serviço",0,IF(AND(AUTOEVENTO="Manual",$M214=1),0,IF(OFFSET(CRONOPLE!$F$14,$M214,AU$13)="",10^12,OFFSET(CRONOPLE!$F$14,$M214,AU$13))))</f>
        <v>1000000000000</v>
      </c>
      <c r="AV214" s="215">
        <f ca="1">IF($D214&lt;&gt;"Serviço",0,IF(AND(AUTOEVENTO="Manual",$M214=1),0,IF(OFFSET(CRONOPLE!$F$14,$M214,AV$13)="",10^12,OFFSET(CRONOPLE!$F$14,$M214,AV$13))))</f>
        <v>1000000000000</v>
      </c>
      <c r="AX214" s="216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6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6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6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6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6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6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6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6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6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37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5" t="str">
        <f ca="1">OFFSET(ORÇAMENTO!N$15,ROW(D215)-ROW(D$15),0)</f>
        <v>Serviço</v>
      </c>
      <c r="E215" s="205" t="str">
        <f ca="1">OFFSET(ORÇAMENTO!O$15,ROW(E215)-ROW(E$15),0)</f>
        <v>-</v>
      </c>
      <c r="F215" s="206" t="str">
        <f ca="1">OFFSET(ORÇAMENTO!R$15,ROW(F215)-ROW(F$15),0)</f>
        <v>(abra o arquivo 'Referência 05-2023.xls)</v>
      </c>
      <c r="G215" s="207" t="str">
        <f ca="1">IF($D215&lt;&gt;"Serviço","",OFFSET(ORÇAMENTO!S$15,ROW(G215)-ROW(G$15),0))</f>
        <v>-</v>
      </c>
      <c r="H215" s="151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1"/>
      <c r="K215" s="208"/>
      <c r="L215" s="209" t="s">
        <v>254</v>
      </c>
      <c r="M215" s="210">
        <f ca="1">IF($D215&lt;&gt;"Serviço","",IF(AUTOEVENTO="manual",$A215,IF(ISERROR(MATCH($A215,$A$15:OFFSET($A215,-1,0),0)),MAX($M$15:OFFSET(M215,-1,0))+1,INDEX($M$15:OFFSET(M215,-1,0),MATCH($A215,$A$15:OFFSET($A215,-1,0),0)))))</f>
        <v>5</v>
      </c>
      <c r="N215" s="211" t="str">
        <f ca="1">IF($D215&lt;&gt;"Serviço","",IF(AUTOEVENTO="Manual",IF($A215=0,"&lt;-- defina o número do agrupador",OFFSET(EVENTOS!$D$14,$A215,0)),OFFSET($F$15,$A215,0)))</f>
        <v>PINTURAS E TEXTURAS</v>
      </c>
      <c r="O215" s="212"/>
      <c r="Q215" s="212"/>
      <c r="R215" s="213"/>
      <c r="S215" s="213"/>
      <c r="T215" s="213"/>
      <c r="U215" s="213"/>
      <c r="V215" s="213"/>
      <c r="W215" s="213"/>
      <c r="X215" s="213"/>
      <c r="Y215" s="213"/>
      <c r="Z215" s="214"/>
      <c r="AB215" s="592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3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3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3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3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3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3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3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3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4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5">
        <f ca="1">IF($D215&lt;&gt;"Serviço",0,IF(AND(AUTOEVENTO="Manual",$M215=1),0,IF(OFFSET(CRONOPLE!$F$14,$M215,AM$13)="",10^12,OFFSET(CRONOPLE!$F$14,$M215,AM$13))))</f>
        <v>2</v>
      </c>
      <c r="AN215" s="215">
        <f ca="1">IF($D215&lt;&gt;"Serviço",0,IF(AND(AUTOEVENTO="Manual",$M215=1),0,IF(OFFSET(CRONOPLE!$F$14,$M215,AN$13)="",10^12,OFFSET(CRONOPLE!$F$14,$M215,AN$13))))</f>
        <v>2</v>
      </c>
      <c r="AO215" s="215">
        <f ca="1">IF($D215&lt;&gt;"Serviço",0,IF(AND(AUTOEVENTO="Manual",$M215=1),0,IF(OFFSET(CRONOPLE!$F$14,$M215,AO$13)="",10^12,OFFSET(CRONOPLE!$F$14,$M215,AO$13))))</f>
        <v>3</v>
      </c>
      <c r="AP215" s="215">
        <f ca="1">IF($D215&lt;&gt;"Serviço",0,IF(AND(AUTOEVENTO="Manual",$M215=1),0,IF(OFFSET(CRONOPLE!$F$14,$M215,AP$13)="",10^12,OFFSET(CRONOPLE!$F$14,$M215,AP$13))))</f>
        <v>1000000000000</v>
      </c>
      <c r="AQ215" s="215">
        <f ca="1">IF($D215&lt;&gt;"Serviço",0,IF(AND(AUTOEVENTO="Manual",$M215=1),0,IF(OFFSET(CRONOPLE!$F$14,$M215,AQ$13)="",10^12,OFFSET(CRONOPLE!$F$14,$M215,AQ$13))))</f>
        <v>1000000000000</v>
      </c>
      <c r="AR215" s="215">
        <f ca="1">IF($D215&lt;&gt;"Serviço",0,IF(AND(AUTOEVENTO="Manual",$M215=1),0,IF(OFFSET(CRONOPLE!$F$14,$M215,AR$13)="",10^12,OFFSET(CRONOPLE!$F$14,$M215,AR$13))))</f>
        <v>1000000000000</v>
      </c>
      <c r="AS215" s="215">
        <f ca="1">IF($D215&lt;&gt;"Serviço",0,IF(AND(AUTOEVENTO="Manual",$M215=1),0,IF(OFFSET(CRONOPLE!$F$14,$M215,AS$13)="",10^12,OFFSET(CRONOPLE!$F$14,$M215,AS$13))))</f>
        <v>1000000000000</v>
      </c>
      <c r="AT215" s="215">
        <f ca="1">IF($D215&lt;&gt;"Serviço",0,IF(AND(AUTOEVENTO="Manual",$M215=1),0,IF(OFFSET(CRONOPLE!$F$14,$M215,AT$13)="",10^12,OFFSET(CRONOPLE!$F$14,$M215,AT$13))))</f>
        <v>1000000000000</v>
      </c>
      <c r="AU215" s="215">
        <f ca="1">IF($D215&lt;&gt;"Serviço",0,IF(AND(AUTOEVENTO="Manual",$M215=1),0,IF(OFFSET(CRONOPLE!$F$14,$M215,AU$13)="",10^12,OFFSET(CRONOPLE!$F$14,$M215,AU$13))))</f>
        <v>1000000000000</v>
      </c>
      <c r="AV215" s="215">
        <f ca="1">IF($D215&lt;&gt;"Serviço",0,IF(AND(AUTOEVENTO="Manual",$M215=1),0,IF(OFFSET(CRONOPLE!$F$14,$M215,AV$13)="",10^12,OFFSET(CRONOPLE!$F$14,$M215,AV$13))))</f>
        <v>1000000000000</v>
      </c>
      <c r="AX215" s="216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6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6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6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6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6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6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6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6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6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37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5" t="str">
        <f ca="1">OFFSET(ORÇAMENTO!N$15,ROW(D216)-ROW(D$15),0)</f>
        <v>Serviço</v>
      </c>
      <c r="E216" s="205" t="str">
        <f ca="1">OFFSET(ORÇAMENTO!O$15,ROW(E216)-ROW(E$15),0)</f>
        <v>-</v>
      </c>
      <c r="F216" s="206" t="str">
        <f ca="1">OFFSET(ORÇAMENTO!R$15,ROW(F216)-ROW(F$15),0)</f>
        <v>(abra o arquivo 'Referência 05-2023.xls)</v>
      </c>
      <c r="G216" s="207" t="str">
        <f ca="1">IF($D216&lt;&gt;"Serviço","",OFFSET(ORÇAMENTO!S$15,ROW(G216)-ROW(G$15),0))</f>
        <v>-</v>
      </c>
      <c r="H216" s="151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1"/>
      <c r="K216" s="208"/>
      <c r="L216" s="209" t="s">
        <v>254</v>
      </c>
      <c r="M216" s="210">
        <f ca="1">IF($D216&lt;&gt;"Serviço","",IF(AUTOEVENTO="manual",$A216,IF(ISERROR(MATCH($A216,$A$15:OFFSET($A216,-1,0),0)),MAX($M$15:OFFSET(M216,-1,0))+1,INDEX($M$15:OFFSET(M216,-1,0),MATCH($A216,$A$15:OFFSET($A216,-1,0),0)))))</f>
        <v>5</v>
      </c>
      <c r="N216" s="211" t="str">
        <f ca="1">IF($D216&lt;&gt;"Serviço","",IF(AUTOEVENTO="Manual",IF($A216=0,"&lt;-- defina o número do agrupador",OFFSET(EVENTOS!$D$14,$A216,0)),OFFSET($F$15,$A216,0)))</f>
        <v>PINTURAS E TEXTURAS</v>
      </c>
      <c r="O216" s="212"/>
      <c r="Q216" s="212"/>
      <c r="R216" s="213"/>
      <c r="S216" s="213"/>
      <c r="T216" s="213"/>
      <c r="U216" s="213"/>
      <c r="V216" s="213"/>
      <c r="W216" s="213"/>
      <c r="X216" s="213"/>
      <c r="Y216" s="213"/>
      <c r="Z216" s="214"/>
      <c r="AB216" s="592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3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3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3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3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3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3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3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3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4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5">
        <f ca="1">IF($D216&lt;&gt;"Serviço",0,IF(AND(AUTOEVENTO="Manual",$M216=1),0,IF(OFFSET(CRONOPLE!$F$14,$M216,AM$13)="",10^12,OFFSET(CRONOPLE!$F$14,$M216,AM$13))))</f>
        <v>2</v>
      </c>
      <c r="AN216" s="215">
        <f ca="1">IF($D216&lt;&gt;"Serviço",0,IF(AND(AUTOEVENTO="Manual",$M216=1),0,IF(OFFSET(CRONOPLE!$F$14,$M216,AN$13)="",10^12,OFFSET(CRONOPLE!$F$14,$M216,AN$13))))</f>
        <v>2</v>
      </c>
      <c r="AO216" s="215">
        <f ca="1">IF($D216&lt;&gt;"Serviço",0,IF(AND(AUTOEVENTO="Manual",$M216=1),0,IF(OFFSET(CRONOPLE!$F$14,$M216,AO$13)="",10^12,OFFSET(CRONOPLE!$F$14,$M216,AO$13))))</f>
        <v>3</v>
      </c>
      <c r="AP216" s="215">
        <f ca="1">IF($D216&lt;&gt;"Serviço",0,IF(AND(AUTOEVENTO="Manual",$M216=1),0,IF(OFFSET(CRONOPLE!$F$14,$M216,AP$13)="",10^12,OFFSET(CRONOPLE!$F$14,$M216,AP$13))))</f>
        <v>1000000000000</v>
      </c>
      <c r="AQ216" s="215">
        <f ca="1">IF($D216&lt;&gt;"Serviço",0,IF(AND(AUTOEVENTO="Manual",$M216=1),0,IF(OFFSET(CRONOPLE!$F$14,$M216,AQ$13)="",10^12,OFFSET(CRONOPLE!$F$14,$M216,AQ$13))))</f>
        <v>1000000000000</v>
      </c>
      <c r="AR216" s="215">
        <f ca="1">IF($D216&lt;&gt;"Serviço",0,IF(AND(AUTOEVENTO="Manual",$M216=1),0,IF(OFFSET(CRONOPLE!$F$14,$M216,AR$13)="",10^12,OFFSET(CRONOPLE!$F$14,$M216,AR$13))))</f>
        <v>1000000000000</v>
      </c>
      <c r="AS216" s="215">
        <f ca="1">IF($D216&lt;&gt;"Serviço",0,IF(AND(AUTOEVENTO="Manual",$M216=1),0,IF(OFFSET(CRONOPLE!$F$14,$M216,AS$13)="",10^12,OFFSET(CRONOPLE!$F$14,$M216,AS$13))))</f>
        <v>1000000000000</v>
      </c>
      <c r="AT216" s="215">
        <f ca="1">IF($D216&lt;&gt;"Serviço",0,IF(AND(AUTOEVENTO="Manual",$M216=1),0,IF(OFFSET(CRONOPLE!$F$14,$M216,AT$13)="",10^12,OFFSET(CRONOPLE!$F$14,$M216,AT$13))))</f>
        <v>1000000000000</v>
      </c>
      <c r="AU216" s="215">
        <f ca="1">IF($D216&lt;&gt;"Serviço",0,IF(AND(AUTOEVENTO="Manual",$M216=1),0,IF(OFFSET(CRONOPLE!$F$14,$M216,AU$13)="",10^12,OFFSET(CRONOPLE!$F$14,$M216,AU$13))))</f>
        <v>1000000000000</v>
      </c>
      <c r="AV216" s="215">
        <f ca="1">IF($D216&lt;&gt;"Serviço",0,IF(AND(AUTOEVENTO="Manual",$M216=1),0,IF(OFFSET(CRONOPLE!$F$14,$M216,AV$13)="",10^12,OFFSET(CRONOPLE!$F$14,$M216,AV$13))))</f>
        <v>1000000000000</v>
      </c>
      <c r="AX216" s="216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6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6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6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6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6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6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6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6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6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37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5" t="str">
        <f ca="1">OFFSET(ORÇAMENTO!N$15,ROW(D217)-ROW(D$15),0)</f>
        <v>Serviço</v>
      </c>
      <c r="E217" s="205" t="str">
        <f ca="1">OFFSET(ORÇAMENTO!O$15,ROW(E217)-ROW(E$15),0)</f>
        <v>-</v>
      </c>
      <c r="F217" s="206" t="str">
        <f ca="1">OFFSET(ORÇAMENTO!R$15,ROW(F217)-ROW(F$15),0)</f>
        <v>(abra o arquivo 'Referência 05-2023.xls)</v>
      </c>
      <c r="G217" s="207" t="str">
        <f ca="1">IF($D217&lt;&gt;"Serviço","",OFFSET(ORÇAMENTO!S$15,ROW(G217)-ROW(G$15),0))</f>
        <v>-</v>
      </c>
      <c r="H217" s="151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1"/>
      <c r="K217" s="208"/>
      <c r="L217" s="209" t="s">
        <v>254</v>
      </c>
      <c r="M217" s="210">
        <f ca="1">IF($D217&lt;&gt;"Serviço","",IF(AUTOEVENTO="manual",$A217,IF(ISERROR(MATCH($A217,$A$15:OFFSET($A217,-1,0),0)),MAX($M$15:OFFSET(M217,-1,0))+1,INDEX($M$15:OFFSET(M217,-1,0),MATCH($A217,$A$15:OFFSET($A217,-1,0),0)))))</f>
        <v>5</v>
      </c>
      <c r="N217" s="211" t="str">
        <f ca="1">IF($D217&lt;&gt;"Serviço","",IF(AUTOEVENTO="Manual",IF($A217=0,"&lt;-- defina o número do agrupador",OFFSET(EVENTOS!$D$14,$A217,0)),OFFSET($F$15,$A217,0)))</f>
        <v>PINTURAS E TEXTURAS</v>
      </c>
      <c r="O217" s="212"/>
      <c r="Q217" s="212"/>
      <c r="R217" s="213"/>
      <c r="S217" s="213"/>
      <c r="T217" s="213"/>
      <c r="U217" s="213"/>
      <c r="V217" s="213"/>
      <c r="W217" s="213"/>
      <c r="X217" s="213"/>
      <c r="Y217" s="213"/>
      <c r="Z217" s="214"/>
      <c r="AB217" s="592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3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3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3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3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3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3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3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3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4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5">
        <f ca="1">IF($D217&lt;&gt;"Serviço",0,IF(AND(AUTOEVENTO="Manual",$M217=1),0,IF(OFFSET(CRONOPLE!$F$14,$M217,AM$13)="",10^12,OFFSET(CRONOPLE!$F$14,$M217,AM$13))))</f>
        <v>2</v>
      </c>
      <c r="AN217" s="215">
        <f ca="1">IF($D217&lt;&gt;"Serviço",0,IF(AND(AUTOEVENTO="Manual",$M217=1),0,IF(OFFSET(CRONOPLE!$F$14,$M217,AN$13)="",10^12,OFFSET(CRONOPLE!$F$14,$M217,AN$13))))</f>
        <v>2</v>
      </c>
      <c r="AO217" s="215">
        <f ca="1">IF($D217&lt;&gt;"Serviço",0,IF(AND(AUTOEVENTO="Manual",$M217=1),0,IF(OFFSET(CRONOPLE!$F$14,$M217,AO$13)="",10^12,OFFSET(CRONOPLE!$F$14,$M217,AO$13))))</f>
        <v>3</v>
      </c>
      <c r="AP217" s="215">
        <f ca="1">IF($D217&lt;&gt;"Serviço",0,IF(AND(AUTOEVENTO="Manual",$M217=1),0,IF(OFFSET(CRONOPLE!$F$14,$M217,AP$13)="",10^12,OFFSET(CRONOPLE!$F$14,$M217,AP$13))))</f>
        <v>1000000000000</v>
      </c>
      <c r="AQ217" s="215">
        <f ca="1">IF($D217&lt;&gt;"Serviço",0,IF(AND(AUTOEVENTO="Manual",$M217=1),0,IF(OFFSET(CRONOPLE!$F$14,$M217,AQ$13)="",10^12,OFFSET(CRONOPLE!$F$14,$M217,AQ$13))))</f>
        <v>1000000000000</v>
      </c>
      <c r="AR217" s="215">
        <f ca="1">IF($D217&lt;&gt;"Serviço",0,IF(AND(AUTOEVENTO="Manual",$M217=1),0,IF(OFFSET(CRONOPLE!$F$14,$M217,AR$13)="",10^12,OFFSET(CRONOPLE!$F$14,$M217,AR$13))))</f>
        <v>1000000000000</v>
      </c>
      <c r="AS217" s="215">
        <f ca="1">IF($D217&lt;&gt;"Serviço",0,IF(AND(AUTOEVENTO="Manual",$M217=1),0,IF(OFFSET(CRONOPLE!$F$14,$M217,AS$13)="",10^12,OFFSET(CRONOPLE!$F$14,$M217,AS$13))))</f>
        <v>1000000000000</v>
      </c>
      <c r="AT217" s="215">
        <f ca="1">IF($D217&lt;&gt;"Serviço",0,IF(AND(AUTOEVENTO="Manual",$M217=1),0,IF(OFFSET(CRONOPLE!$F$14,$M217,AT$13)="",10^12,OFFSET(CRONOPLE!$F$14,$M217,AT$13))))</f>
        <v>1000000000000</v>
      </c>
      <c r="AU217" s="215">
        <f ca="1">IF($D217&lt;&gt;"Serviço",0,IF(AND(AUTOEVENTO="Manual",$M217=1),0,IF(OFFSET(CRONOPLE!$F$14,$M217,AU$13)="",10^12,OFFSET(CRONOPLE!$F$14,$M217,AU$13))))</f>
        <v>1000000000000</v>
      </c>
      <c r="AV217" s="215">
        <f ca="1">IF($D217&lt;&gt;"Serviço",0,IF(AND(AUTOEVENTO="Manual",$M217=1),0,IF(OFFSET(CRONOPLE!$F$14,$M217,AV$13)="",10^12,OFFSET(CRONOPLE!$F$14,$M217,AV$13))))</f>
        <v>1000000000000</v>
      </c>
      <c r="AX217" s="216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6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6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6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6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6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6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6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6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6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37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5" t="str">
        <f ca="1">OFFSET(ORÇAMENTO!N$15,ROW(D218)-ROW(D$15),0)</f>
        <v>Serviço</v>
      </c>
      <c r="E218" s="205" t="str">
        <f ca="1">OFFSET(ORÇAMENTO!O$15,ROW(E218)-ROW(E$15),0)</f>
        <v>-</v>
      </c>
      <c r="F218" s="206" t="str">
        <f ca="1">OFFSET(ORÇAMENTO!R$15,ROW(F218)-ROW(F$15),0)</f>
        <v>(abra o arquivo 'Referência 05-2023.xls)</v>
      </c>
      <c r="G218" s="207" t="str">
        <f ca="1">IF($D218&lt;&gt;"Serviço","",OFFSET(ORÇAMENTO!S$15,ROW(G218)-ROW(G$15),0))</f>
        <v>-</v>
      </c>
      <c r="H218" s="151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1"/>
      <c r="K218" s="208"/>
      <c r="L218" s="209" t="s">
        <v>254</v>
      </c>
      <c r="M218" s="210">
        <f ca="1">IF($D218&lt;&gt;"Serviço","",IF(AUTOEVENTO="manual",$A218,IF(ISERROR(MATCH($A218,$A$15:OFFSET($A218,-1,0),0)),MAX($M$15:OFFSET(M218,-1,0))+1,INDEX($M$15:OFFSET(M218,-1,0),MATCH($A218,$A$15:OFFSET($A218,-1,0),0)))))</f>
        <v>5</v>
      </c>
      <c r="N218" s="211" t="str">
        <f ca="1">IF($D218&lt;&gt;"Serviço","",IF(AUTOEVENTO="Manual",IF($A218=0,"&lt;-- defina o número do agrupador",OFFSET(EVENTOS!$D$14,$A218,0)),OFFSET($F$15,$A218,0)))</f>
        <v>PINTURAS E TEXTURAS</v>
      </c>
      <c r="O218" s="212"/>
      <c r="Q218" s="212"/>
      <c r="R218" s="213"/>
      <c r="S218" s="213"/>
      <c r="T218" s="213"/>
      <c r="U218" s="213"/>
      <c r="V218" s="213"/>
      <c r="W218" s="213"/>
      <c r="X218" s="213"/>
      <c r="Y218" s="213"/>
      <c r="Z218" s="214"/>
      <c r="AB218" s="592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3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3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3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3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3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3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3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3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4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5">
        <f ca="1">IF($D218&lt;&gt;"Serviço",0,IF(AND(AUTOEVENTO="Manual",$M218=1),0,IF(OFFSET(CRONOPLE!$F$14,$M218,AM$13)="",10^12,OFFSET(CRONOPLE!$F$14,$M218,AM$13))))</f>
        <v>2</v>
      </c>
      <c r="AN218" s="215">
        <f ca="1">IF($D218&lt;&gt;"Serviço",0,IF(AND(AUTOEVENTO="Manual",$M218=1),0,IF(OFFSET(CRONOPLE!$F$14,$M218,AN$13)="",10^12,OFFSET(CRONOPLE!$F$14,$M218,AN$13))))</f>
        <v>2</v>
      </c>
      <c r="AO218" s="215">
        <f ca="1">IF($D218&lt;&gt;"Serviço",0,IF(AND(AUTOEVENTO="Manual",$M218=1),0,IF(OFFSET(CRONOPLE!$F$14,$M218,AO$13)="",10^12,OFFSET(CRONOPLE!$F$14,$M218,AO$13))))</f>
        <v>3</v>
      </c>
      <c r="AP218" s="215">
        <f ca="1">IF($D218&lt;&gt;"Serviço",0,IF(AND(AUTOEVENTO="Manual",$M218=1),0,IF(OFFSET(CRONOPLE!$F$14,$M218,AP$13)="",10^12,OFFSET(CRONOPLE!$F$14,$M218,AP$13))))</f>
        <v>1000000000000</v>
      </c>
      <c r="AQ218" s="215">
        <f ca="1">IF($D218&lt;&gt;"Serviço",0,IF(AND(AUTOEVENTO="Manual",$M218=1),0,IF(OFFSET(CRONOPLE!$F$14,$M218,AQ$13)="",10^12,OFFSET(CRONOPLE!$F$14,$M218,AQ$13))))</f>
        <v>1000000000000</v>
      </c>
      <c r="AR218" s="215">
        <f ca="1">IF($D218&lt;&gt;"Serviço",0,IF(AND(AUTOEVENTO="Manual",$M218=1),0,IF(OFFSET(CRONOPLE!$F$14,$M218,AR$13)="",10^12,OFFSET(CRONOPLE!$F$14,$M218,AR$13))))</f>
        <v>1000000000000</v>
      </c>
      <c r="AS218" s="215">
        <f ca="1">IF($D218&lt;&gt;"Serviço",0,IF(AND(AUTOEVENTO="Manual",$M218=1),0,IF(OFFSET(CRONOPLE!$F$14,$M218,AS$13)="",10^12,OFFSET(CRONOPLE!$F$14,$M218,AS$13))))</f>
        <v>1000000000000</v>
      </c>
      <c r="AT218" s="215">
        <f ca="1">IF($D218&lt;&gt;"Serviço",0,IF(AND(AUTOEVENTO="Manual",$M218=1),0,IF(OFFSET(CRONOPLE!$F$14,$M218,AT$13)="",10^12,OFFSET(CRONOPLE!$F$14,$M218,AT$13))))</f>
        <v>1000000000000</v>
      </c>
      <c r="AU218" s="215">
        <f ca="1">IF($D218&lt;&gt;"Serviço",0,IF(AND(AUTOEVENTO="Manual",$M218=1),0,IF(OFFSET(CRONOPLE!$F$14,$M218,AU$13)="",10^12,OFFSET(CRONOPLE!$F$14,$M218,AU$13))))</f>
        <v>1000000000000</v>
      </c>
      <c r="AV218" s="215">
        <f ca="1">IF($D218&lt;&gt;"Serviço",0,IF(AND(AUTOEVENTO="Manual",$M218=1),0,IF(OFFSET(CRONOPLE!$F$14,$M218,AV$13)="",10^12,OFFSET(CRONOPLE!$F$14,$M218,AV$13))))</f>
        <v>1000000000000</v>
      </c>
      <c r="AX218" s="216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6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6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6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6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6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6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6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6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6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37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5" t="str">
        <f ca="1">OFFSET(ORÇAMENTO!N$15,ROW(D219)-ROW(D$15),0)</f>
        <v>Serviço</v>
      </c>
      <c r="E219" s="205" t="str">
        <f ca="1">OFFSET(ORÇAMENTO!O$15,ROW(E219)-ROW(E$15),0)</f>
        <v>-</v>
      </c>
      <c r="F219" s="206" t="str">
        <f ca="1">OFFSET(ORÇAMENTO!R$15,ROW(F219)-ROW(F$15),0)</f>
        <v>(abra o arquivo 'Referência 05-2023.xls)</v>
      </c>
      <c r="G219" s="207" t="str">
        <f ca="1">IF($D219&lt;&gt;"Serviço","",OFFSET(ORÇAMENTO!S$15,ROW(G219)-ROW(G$15),0))</f>
        <v>-</v>
      </c>
      <c r="H219" s="151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1"/>
      <c r="K219" s="208"/>
      <c r="L219" s="209" t="s">
        <v>254</v>
      </c>
      <c r="M219" s="210">
        <f ca="1">IF($D219&lt;&gt;"Serviço","",IF(AUTOEVENTO="manual",$A219,IF(ISERROR(MATCH($A219,$A$15:OFFSET($A219,-1,0),0)),MAX($M$15:OFFSET(M219,-1,0))+1,INDEX($M$15:OFFSET(M219,-1,0),MATCH($A219,$A$15:OFFSET($A219,-1,0),0)))))</f>
        <v>5</v>
      </c>
      <c r="N219" s="211" t="str">
        <f ca="1">IF($D219&lt;&gt;"Serviço","",IF(AUTOEVENTO="Manual",IF($A219=0,"&lt;-- defina o número do agrupador",OFFSET(EVENTOS!$D$14,$A219,0)),OFFSET($F$15,$A219,0)))</f>
        <v>PINTURAS E TEXTURAS</v>
      </c>
      <c r="O219" s="212"/>
      <c r="Q219" s="212"/>
      <c r="R219" s="213"/>
      <c r="S219" s="213"/>
      <c r="T219" s="213"/>
      <c r="U219" s="213"/>
      <c r="V219" s="213"/>
      <c r="W219" s="213"/>
      <c r="X219" s="213"/>
      <c r="Y219" s="213"/>
      <c r="Z219" s="214"/>
      <c r="AB219" s="592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3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3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3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3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3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3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3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3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4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5">
        <f ca="1">IF($D219&lt;&gt;"Serviço",0,IF(AND(AUTOEVENTO="Manual",$M219=1),0,IF(OFFSET(CRONOPLE!$F$14,$M219,AM$13)="",10^12,OFFSET(CRONOPLE!$F$14,$M219,AM$13))))</f>
        <v>2</v>
      </c>
      <c r="AN219" s="215">
        <f ca="1">IF($D219&lt;&gt;"Serviço",0,IF(AND(AUTOEVENTO="Manual",$M219=1),0,IF(OFFSET(CRONOPLE!$F$14,$M219,AN$13)="",10^12,OFFSET(CRONOPLE!$F$14,$M219,AN$13))))</f>
        <v>2</v>
      </c>
      <c r="AO219" s="215">
        <f ca="1">IF($D219&lt;&gt;"Serviço",0,IF(AND(AUTOEVENTO="Manual",$M219=1),0,IF(OFFSET(CRONOPLE!$F$14,$M219,AO$13)="",10^12,OFFSET(CRONOPLE!$F$14,$M219,AO$13))))</f>
        <v>3</v>
      </c>
      <c r="AP219" s="215">
        <f ca="1">IF($D219&lt;&gt;"Serviço",0,IF(AND(AUTOEVENTO="Manual",$M219=1),0,IF(OFFSET(CRONOPLE!$F$14,$M219,AP$13)="",10^12,OFFSET(CRONOPLE!$F$14,$M219,AP$13))))</f>
        <v>1000000000000</v>
      </c>
      <c r="AQ219" s="215">
        <f ca="1">IF($D219&lt;&gt;"Serviço",0,IF(AND(AUTOEVENTO="Manual",$M219=1),0,IF(OFFSET(CRONOPLE!$F$14,$M219,AQ$13)="",10^12,OFFSET(CRONOPLE!$F$14,$M219,AQ$13))))</f>
        <v>1000000000000</v>
      </c>
      <c r="AR219" s="215">
        <f ca="1">IF($D219&lt;&gt;"Serviço",0,IF(AND(AUTOEVENTO="Manual",$M219=1),0,IF(OFFSET(CRONOPLE!$F$14,$M219,AR$13)="",10^12,OFFSET(CRONOPLE!$F$14,$M219,AR$13))))</f>
        <v>1000000000000</v>
      </c>
      <c r="AS219" s="215">
        <f ca="1">IF($D219&lt;&gt;"Serviço",0,IF(AND(AUTOEVENTO="Manual",$M219=1),0,IF(OFFSET(CRONOPLE!$F$14,$M219,AS$13)="",10^12,OFFSET(CRONOPLE!$F$14,$M219,AS$13))))</f>
        <v>1000000000000</v>
      </c>
      <c r="AT219" s="215">
        <f ca="1">IF($D219&lt;&gt;"Serviço",0,IF(AND(AUTOEVENTO="Manual",$M219=1),0,IF(OFFSET(CRONOPLE!$F$14,$M219,AT$13)="",10^12,OFFSET(CRONOPLE!$F$14,$M219,AT$13))))</f>
        <v>1000000000000</v>
      </c>
      <c r="AU219" s="215">
        <f ca="1">IF($D219&lt;&gt;"Serviço",0,IF(AND(AUTOEVENTO="Manual",$M219=1),0,IF(OFFSET(CRONOPLE!$F$14,$M219,AU$13)="",10^12,OFFSET(CRONOPLE!$F$14,$M219,AU$13))))</f>
        <v>1000000000000</v>
      </c>
      <c r="AV219" s="215">
        <f ca="1">IF($D219&lt;&gt;"Serviço",0,IF(AND(AUTOEVENTO="Manual",$M219=1),0,IF(OFFSET(CRONOPLE!$F$14,$M219,AV$13)="",10^12,OFFSET(CRONOPLE!$F$14,$M219,AV$13))))</f>
        <v>1000000000000</v>
      </c>
      <c r="AX219" s="216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6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6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6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6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6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6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6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6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6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37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5" t="str">
        <f ca="1">OFFSET(ORÇAMENTO!N$15,ROW(D220)-ROW(D$15),0)</f>
        <v>Serviço</v>
      </c>
      <c r="E220" s="205" t="str">
        <f ca="1">OFFSET(ORÇAMENTO!O$15,ROW(E220)-ROW(E$15),0)</f>
        <v>-</v>
      </c>
      <c r="F220" s="206" t="str">
        <f ca="1">OFFSET(ORÇAMENTO!R$15,ROW(F220)-ROW(F$15),0)</f>
        <v>(abra o arquivo 'Referência 05-2023.xls)</v>
      </c>
      <c r="G220" s="207" t="str">
        <f ca="1">IF($D220&lt;&gt;"Serviço","",OFFSET(ORÇAMENTO!S$15,ROW(G220)-ROW(G$15),0))</f>
        <v>-</v>
      </c>
      <c r="H220" s="151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1"/>
      <c r="K220" s="208"/>
      <c r="L220" s="209" t="s">
        <v>254</v>
      </c>
      <c r="M220" s="210">
        <f ca="1">IF($D220&lt;&gt;"Serviço","",IF(AUTOEVENTO="manual",$A220,IF(ISERROR(MATCH($A220,$A$15:OFFSET($A220,-1,0),0)),MAX($M$15:OFFSET(M220,-1,0))+1,INDEX($M$15:OFFSET(M220,-1,0),MATCH($A220,$A$15:OFFSET($A220,-1,0),0)))))</f>
        <v>5</v>
      </c>
      <c r="N220" s="211" t="str">
        <f ca="1">IF($D220&lt;&gt;"Serviço","",IF(AUTOEVENTO="Manual",IF($A220=0,"&lt;-- defina o número do agrupador",OFFSET(EVENTOS!$D$14,$A220,0)),OFFSET($F$15,$A220,0)))</f>
        <v>PINTURAS E TEXTURAS</v>
      </c>
      <c r="O220" s="212"/>
      <c r="Q220" s="212"/>
      <c r="R220" s="213"/>
      <c r="S220" s="213"/>
      <c r="T220" s="213"/>
      <c r="U220" s="213"/>
      <c r="V220" s="213"/>
      <c r="W220" s="213"/>
      <c r="X220" s="213"/>
      <c r="Y220" s="213"/>
      <c r="Z220" s="214"/>
      <c r="AB220" s="592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3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3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3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3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3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3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3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3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4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5">
        <f ca="1">IF($D220&lt;&gt;"Serviço",0,IF(AND(AUTOEVENTO="Manual",$M220=1),0,IF(OFFSET(CRONOPLE!$F$14,$M220,AM$13)="",10^12,OFFSET(CRONOPLE!$F$14,$M220,AM$13))))</f>
        <v>2</v>
      </c>
      <c r="AN220" s="215">
        <f ca="1">IF($D220&lt;&gt;"Serviço",0,IF(AND(AUTOEVENTO="Manual",$M220=1),0,IF(OFFSET(CRONOPLE!$F$14,$M220,AN$13)="",10^12,OFFSET(CRONOPLE!$F$14,$M220,AN$13))))</f>
        <v>2</v>
      </c>
      <c r="AO220" s="215">
        <f ca="1">IF($D220&lt;&gt;"Serviço",0,IF(AND(AUTOEVENTO="Manual",$M220=1),0,IF(OFFSET(CRONOPLE!$F$14,$M220,AO$13)="",10^12,OFFSET(CRONOPLE!$F$14,$M220,AO$13))))</f>
        <v>3</v>
      </c>
      <c r="AP220" s="215">
        <f ca="1">IF($D220&lt;&gt;"Serviço",0,IF(AND(AUTOEVENTO="Manual",$M220=1),0,IF(OFFSET(CRONOPLE!$F$14,$M220,AP$13)="",10^12,OFFSET(CRONOPLE!$F$14,$M220,AP$13))))</f>
        <v>1000000000000</v>
      </c>
      <c r="AQ220" s="215">
        <f ca="1">IF($D220&lt;&gt;"Serviço",0,IF(AND(AUTOEVENTO="Manual",$M220=1),0,IF(OFFSET(CRONOPLE!$F$14,$M220,AQ$13)="",10^12,OFFSET(CRONOPLE!$F$14,$M220,AQ$13))))</f>
        <v>1000000000000</v>
      </c>
      <c r="AR220" s="215">
        <f ca="1">IF($D220&lt;&gt;"Serviço",0,IF(AND(AUTOEVENTO="Manual",$M220=1),0,IF(OFFSET(CRONOPLE!$F$14,$M220,AR$13)="",10^12,OFFSET(CRONOPLE!$F$14,$M220,AR$13))))</f>
        <v>1000000000000</v>
      </c>
      <c r="AS220" s="215">
        <f ca="1">IF($D220&lt;&gt;"Serviço",0,IF(AND(AUTOEVENTO="Manual",$M220=1),0,IF(OFFSET(CRONOPLE!$F$14,$M220,AS$13)="",10^12,OFFSET(CRONOPLE!$F$14,$M220,AS$13))))</f>
        <v>1000000000000</v>
      </c>
      <c r="AT220" s="215">
        <f ca="1">IF($D220&lt;&gt;"Serviço",0,IF(AND(AUTOEVENTO="Manual",$M220=1),0,IF(OFFSET(CRONOPLE!$F$14,$M220,AT$13)="",10^12,OFFSET(CRONOPLE!$F$14,$M220,AT$13))))</f>
        <v>1000000000000</v>
      </c>
      <c r="AU220" s="215">
        <f ca="1">IF($D220&lt;&gt;"Serviço",0,IF(AND(AUTOEVENTO="Manual",$M220=1),0,IF(OFFSET(CRONOPLE!$F$14,$M220,AU$13)="",10^12,OFFSET(CRONOPLE!$F$14,$M220,AU$13))))</f>
        <v>1000000000000</v>
      </c>
      <c r="AV220" s="215">
        <f ca="1">IF($D220&lt;&gt;"Serviço",0,IF(AND(AUTOEVENTO="Manual",$M220=1),0,IF(OFFSET(CRONOPLE!$F$14,$M220,AV$13)="",10^12,OFFSET(CRONOPLE!$F$14,$M220,AV$13))))</f>
        <v>1000000000000</v>
      </c>
      <c r="AX220" s="216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6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6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6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6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6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6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6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6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6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37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5" t="str">
        <f ca="1">OFFSET(ORÇAMENTO!N$15,ROW(D221)-ROW(D$15),0)</f>
        <v>Serviço</v>
      </c>
      <c r="E221" s="205" t="str">
        <f ca="1">OFFSET(ORÇAMENTO!O$15,ROW(E221)-ROW(E$15),0)</f>
        <v>-</v>
      </c>
      <c r="F221" s="206" t="str">
        <f ca="1">OFFSET(ORÇAMENTO!R$15,ROW(F221)-ROW(F$15),0)</f>
        <v>(abra o arquivo 'Referência 05-2023.xls)</v>
      </c>
      <c r="G221" s="207" t="str">
        <f ca="1">IF($D221&lt;&gt;"Serviço","",OFFSET(ORÇAMENTO!S$15,ROW(G221)-ROW(G$15),0))</f>
        <v>-</v>
      </c>
      <c r="H221" s="151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1"/>
      <c r="K221" s="208"/>
      <c r="L221" s="209" t="s">
        <v>254</v>
      </c>
      <c r="M221" s="210">
        <f ca="1">IF($D221&lt;&gt;"Serviço","",IF(AUTOEVENTO="manual",$A221,IF(ISERROR(MATCH($A221,$A$15:OFFSET($A221,-1,0),0)),MAX($M$15:OFFSET(M221,-1,0))+1,INDEX($M$15:OFFSET(M221,-1,0),MATCH($A221,$A$15:OFFSET($A221,-1,0),0)))))</f>
        <v>5</v>
      </c>
      <c r="N221" s="211" t="str">
        <f ca="1">IF($D221&lt;&gt;"Serviço","",IF(AUTOEVENTO="Manual",IF($A221=0,"&lt;-- defina o número do agrupador",OFFSET(EVENTOS!$D$14,$A221,0)),OFFSET($F$15,$A221,0)))</f>
        <v>PINTURAS E TEXTURAS</v>
      </c>
      <c r="O221" s="212"/>
      <c r="Q221" s="212"/>
      <c r="R221" s="213"/>
      <c r="S221" s="213"/>
      <c r="T221" s="213"/>
      <c r="U221" s="213"/>
      <c r="V221" s="213"/>
      <c r="W221" s="213"/>
      <c r="X221" s="213"/>
      <c r="Y221" s="213"/>
      <c r="Z221" s="214"/>
      <c r="AB221" s="592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3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3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3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3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3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3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3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3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4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5">
        <f ca="1">IF($D221&lt;&gt;"Serviço",0,IF(AND(AUTOEVENTO="Manual",$M221=1),0,IF(OFFSET(CRONOPLE!$F$14,$M221,AM$13)="",10^12,OFFSET(CRONOPLE!$F$14,$M221,AM$13))))</f>
        <v>2</v>
      </c>
      <c r="AN221" s="215">
        <f ca="1">IF($D221&lt;&gt;"Serviço",0,IF(AND(AUTOEVENTO="Manual",$M221=1),0,IF(OFFSET(CRONOPLE!$F$14,$M221,AN$13)="",10^12,OFFSET(CRONOPLE!$F$14,$M221,AN$13))))</f>
        <v>2</v>
      </c>
      <c r="AO221" s="215">
        <f ca="1">IF($D221&lt;&gt;"Serviço",0,IF(AND(AUTOEVENTO="Manual",$M221=1),0,IF(OFFSET(CRONOPLE!$F$14,$M221,AO$13)="",10^12,OFFSET(CRONOPLE!$F$14,$M221,AO$13))))</f>
        <v>3</v>
      </c>
      <c r="AP221" s="215">
        <f ca="1">IF($D221&lt;&gt;"Serviço",0,IF(AND(AUTOEVENTO="Manual",$M221=1),0,IF(OFFSET(CRONOPLE!$F$14,$M221,AP$13)="",10^12,OFFSET(CRONOPLE!$F$14,$M221,AP$13))))</f>
        <v>1000000000000</v>
      </c>
      <c r="AQ221" s="215">
        <f ca="1">IF($D221&lt;&gt;"Serviço",0,IF(AND(AUTOEVENTO="Manual",$M221=1),0,IF(OFFSET(CRONOPLE!$F$14,$M221,AQ$13)="",10^12,OFFSET(CRONOPLE!$F$14,$M221,AQ$13))))</f>
        <v>1000000000000</v>
      </c>
      <c r="AR221" s="215">
        <f ca="1">IF($D221&lt;&gt;"Serviço",0,IF(AND(AUTOEVENTO="Manual",$M221=1),0,IF(OFFSET(CRONOPLE!$F$14,$M221,AR$13)="",10^12,OFFSET(CRONOPLE!$F$14,$M221,AR$13))))</f>
        <v>1000000000000</v>
      </c>
      <c r="AS221" s="215">
        <f ca="1">IF($D221&lt;&gt;"Serviço",0,IF(AND(AUTOEVENTO="Manual",$M221=1),0,IF(OFFSET(CRONOPLE!$F$14,$M221,AS$13)="",10^12,OFFSET(CRONOPLE!$F$14,$M221,AS$13))))</f>
        <v>1000000000000</v>
      </c>
      <c r="AT221" s="215">
        <f ca="1">IF($D221&lt;&gt;"Serviço",0,IF(AND(AUTOEVENTO="Manual",$M221=1),0,IF(OFFSET(CRONOPLE!$F$14,$M221,AT$13)="",10^12,OFFSET(CRONOPLE!$F$14,$M221,AT$13))))</f>
        <v>1000000000000</v>
      </c>
      <c r="AU221" s="215">
        <f ca="1">IF($D221&lt;&gt;"Serviço",0,IF(AND(AUTOEVENTO="Manual",$M221=1),0,IF(OFFSET(CRONOPLE!$F$14,$M221,AU$13)="",10^12,OFFSET(CRONOPLE!$F$14,$M221,AU$13))))</f>
        <v>1000000000000</v>
      </c>
      <c r="AV221" s="215">
        <f ca="1">IF($D221&lt;&gt;"Serviço",0,IF(AND(AUTOEVENTO="Manual",$M221=1),0,IF(OFFSET(CRONOPLE!$F$14,$M221,AV$13)="",10^12,OFFSET(CRONOPLE!$F$14,$M221,AV$13))))</f>
        <v>1000000000000</v>
      </c>
      <c r="AX221" s="216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6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6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6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6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6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6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6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6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6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37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5" t="str">
        <f ca="1">OFFSET(ORÇAMENTO!N$15,ROW(D222)-ROW(D$15),0)</f>
        <v>Serviço</v>
      </c>
      <c r="E222" s="205" t="str">
        <f ca="1">OFFSET(ORÇAMENTO!O$15,ROW(E222)-ROW(E$15),0)</f>
        <v>-</v>
      </c>
      <c r="F222" s="206" t="str">
        <f ca="1">OFFSET(ORÇAMENTO!R$15,ROW(F222)-ROW(F$15),0)</f>
        <v>(abra o arquivo 'Referência 05-2023.xls)</v>
      </c>
      <c r="G222" s="207" t="str">
        <f ca="1">IF($D222&lt;&gt;"Serviço","",OFFSET(ORÇAMENTO!S$15,ROW(G222)-ROW(G$15),0))</f>
        <v>-</v>
      </c>
      <c r="H222" s="151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1"/>
      <c r="K222" s="208"/>
      <c r="L222" s="209" t="s">
        <v>254</v>
      </c>
      <c r="M222" s="210">
        <f ca="1">IF($D222&lt;&gt;"Serviço","",IF(AUTOEVENTO="manual",$A222,IF(ISERROR(MATCH($A222,$A$15:OFFSET($A222,-1,0),0)),MAX($M$15:OFFSET(M222,-1,0))+1,INDEX($M$15:OFFSET(M222,-1,0),MATCH($A222,$A$15:OFFSET($A222,-1,0),0)))))</f>
        <v>5</v>
      </c>
      <c r="N222" s="211" t="str">
        <f ca="1">IF($D222&lt;&gt;"Serviço","",IF(AUTOEVENTO="Manual",IF($A222=0,"&lt;-- defina o número do agrupador",OFFSET(EVENTOS!$D$14,$A222,0)),OFFSET($F$15,$A222,0)))</f>
        <v>PINTURAS E TEXTURAS</v>
      </c>
      <c r="O222" s="212"/>
      <c r="Q222" s="212"/>
      <c r="R222" s="213"/>
      <c r="S222" s="213"/>
      <c r="T222" s="213"/>
      <c r="U222" s="213"/>
      <c r="V222" s="213"/>
      <c r="W222" s="213"/>
      <c r="X222" s="213"/>
      <c r="Y222" s="213"/>
      <c r="Z222" s="214"/>
      <c r="AB222" s="592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3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3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3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3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3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3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3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3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4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5">
        <f ca="1">IF($D222&lt;&gt;"Serviço",0,IF(AND(AUTOEVENTO="Manual",$M222=1),0,IF(OFFSET(CRONOPLE!$F$14,$M222,AM$13)="",10^12,OFFSET(CRONOPLE!$F$14,$M222,AM$13))))</f>
        <v>2</v>
      </c>
      <c r="AN222" s="215">
        <f ca="1">IF($D222&lt;&gt;"Serviço",0,IF(AND(AUTOEVENTO="Manual",$M222=1),0,IF(OFFSET(CRONOPLE!$F$14,$M222,AN$13)="",10^12,OFFSET(CRONOPLE!$F$14,$M222,AN$13))))</f>
        <v>2</v>
      </c>
      <c r="AO222" s="215">
        <f ca="1">IF($D222&lt;&gt;"Serviço",0,IF(AND(AUTOEVENTO="Manual",$M222=1),0,IF(OFFSET(CRONOPLE!$F$14,$M222,AO$13)="",10^12,OFFSET(CRONOPLE!$F$14,$M222,AO$13))))</f>
        <v>3</v>
      </c>
      <c r="AP222" s="215">
        <f ca="1">IF($D222&lt;&gt;"Serviço",0,IF(AND(AUTOEVENTO="Manual",$M222=1),0,IF(OFFSET(CRONOPLE!$F$14,$M222,AP$13)="",10^12,OFFSET(CRONOPLE!$F$14,$M222,AP$13))))</f>
        <v>1000000000000</v>
      </c>
      <c r="AQ222" s="215">
        <f ca="1">IF($D222&lt;&gt;"Serviço",0,IF(AND(AUTOEVENTO="Manual",$M222=1),0,IF(OFFSET(CRONOPLE!$F$14,$M222,AQ$13)="",10^12,OFFSET(CRONOPLE!$F$14,$M222,AQ$13))))</f>
        <v>1000000000000</v>
      </c>
      <c r="AR222" s="215">
        <f ca="1">IF($D222&lt;&gt;"Serviço",0,IF(AND(AUTOEVENTO="Manual",$M222=1),0,IF(OFFSET(CRONOPLE!$F$14,$M222,AR$13)="",10^12,OFFSET(CRONOPLE!$F$14,$M222,AR$13))))</f>
        <v>1000000000000</v>
      </c>
      <c r="AS222" s="215">
        <f ca="1">IF($D222&lt;&gt;"Serviço",0,IF(AND(AUTOEVENTO="Manual",$M222=1),0,IF(OFFSET(CRONOPLE!$F$14,$M222,AS$13)="",10^12,OFFSET(CRONOPLE!$F$14,$M222,AS$13))))</f>
        <v>1000000000000</v>
      </c>
      <c r="AT222" s="215">
        <f ca="1">IF($D222&lt;&gt;"Serviço",0,IF(AND(AUTOEVENTO="Manual",$M222=1),0,IF(OFFSET(CRONOPLE!$F$14,$M222,AT$13)="",10^12,OFFSET(CRONOPLE!$F$14,$M222,AT$13))))</f>
        <v>1000000000000</v>
      </c>
      <c r="AU222" s="215">
        <f ca="1">IF($D222&lt;&gt;"Serviço",0,IF(AND(AUTOEVENTO="Manual",$M222=1),0,IF(OFFSET(CRONOPLE!$F$14,$M222,AU$13)="",10^12,OFFSET(CRONOPLE!$F$14,$M222,AU$13))))</f>
        <v>1000000000000</v>
      </c>
      <c r="AV222" s="215">
        <f ca="1">IF($D222&lt;&gt;"Serviço",0,IF(AND(AUTOEVENTO="Manual",$M222=1),0,IF(OFFSET(CRONOPLE!$F$14,$M222,AV$13)="",10^12,OFFSET(CRONOPLE!$F$14,$M222,AV$13))))</f>
        <v>1000000000000</v>
      </c>
      <c r="AX222" s="216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6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6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6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6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6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6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6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6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6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37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5" t="str">
        <f ca="1">OFFSET(ORÇAMENTO!N$15,ROW(D223)-ROW(D$15),0)</f>
        <v>Serviço</v>
      </c>
      <c r="E223" s="205" t="str">
        <f ca="1">OFFSET(ORÇAMENTO!O$15,ROW(E223)-ROW(E$15),0)</f>
        <v>-</v>
      </c>
      <c r="F223" s="206" t="str">
        <f ca="1">OFFSET(ORÇAMENTO!R$15,ROW(F223)-ROW(F$15),0)</f>
        <v>(abra o arquivo 'Referência 05-2023.xls)</v>
      </c>
      <c r="G223" s="207" t="str">
        <f ca="1">IF($D223&lt;&gt;"Serviço","",OFFSET(ORÇAMENTO!S$15,ROW(G223)-ROW(G$15),0))</f>
        <v>-</v>
      </c>
      <c r="H223" s="151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1"/>
      <c r="K223" s="208"/>
      <c r="L223" s="209" t="s">
        <v>254</v>
      </c>
      <c r="M223" s="210">
        <f ca="1">IF($D223&lt;&gt;"Serviço","",IF(AUTOEVENTO="manual",$A223,IF(ISERROR(MATCH($A223,$A$15:OFFSET($A223,-1,0),0)),MAX($M$15:OFFSET(M223,-1,0))+1,INDEX($M$15:OFFSET(M223,-1,0),MATCH($A223,$A$15:OFFSET($A223,-1,0),0)))))</f>
        <v>5</v>
      </c>
      <c r="N223" s="211" t="str">
        <f ca="1">IF($D223&lt;&gt;"Serviço","",IF(AUTOEVENTO="Manual",IF($A223=0,"&lt;-- defina o número do agrupador",OFFSET(EVENTOS!$D$14,$A223,0)),OFFSET($F$15,$A223,0)))</f>
        <v>PINTURAS E TEXTURAS</v>
      </c>
      <c r="O223" s="212"/>
      <c r="Q223" s="212"/>
      <c r="R223" s="213"/>
      <c r="S223" s="213"/>
      <c r="T223" s="213"/>
      <c r="U223" s="213"/>
      <c r="V223" s="213"/>
      <c r="W223" s="213"/>
      <c r="X223" s="213"/>
      <c r="Y223" s="213"/>
      <c r="Z223" s="214"/>
      <c r="AB223" s="592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3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3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3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3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3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3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3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3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4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5">
        <f ca="1">IF($D223&lt;&gt;"Serviço",0,IF(AND(AUTOEVENTO="Manual",$M223=1),0,IF(OFFSET(CRONOPLE!$F$14,$M223,AM$13)="",10^12,OFFSET(CRONOPLE!$F$14,$M223,AM$13))))</f>
        <v>2</v>
      </c>
      <c r="AN223" s="215">
        <f ca="1">IF($D223&lt;&gt;"Serviço",0,IF(AND(AUTOEVENTO="Manual",$M223=1),0,IF(OFFSET(CRONOPLE!$F$14,$M223,AN$13)="",10^12,OFFSET(CRONOPLE!$F$14,$M223,AN$13))))</f>
        <v>2</v>
      </c>
      <c r="AO223" s="215">
        <f ca="1">IF($D223&lt;&gt;"Serviço",0,IF(AND(AUTOEVENTO="Manual",$M223=1),0,IF(OFFSET(CRONOPLE!$F$14,$M223,AO$13)="",10^12,OFFSET(CRONOPLE!$F$14,$M223,AO$13))))</f>
        <v>3</v>
      </c>
      <c r="AP223" s="215">
        <f ca="1">IF($D223&lt;&gt;"Serviço",0,IF(AND(AUTOEVENTO="Manual",$M223=1),0,IF(OFFSET(CRONOPLE!$F$14,$M223,AP$13)="",10^12,OFFSET(CRONOPLE!$F$14,$M223,AP$13))))</f>
        <v>1000000000000</v>
      </c>
      <c r="AQ223" s="215">
        <f ca="1">IF($D223&lt;&gt;"Serviço",0,IF(AND(AUTOEVENTO="Manual",$M223=1),0,IF(OFFSET(CRONOPLE!$F$14,$M223,AQ$13)="",10^12,OFFSET(CRONOPLE!$F$14,$M223,AQ$13))))</f>
        <v>1000000000000</v>
      </c>
      <c r="AR223" s="215">
        <f ca="1">IF($D223&lt;&gt;"Serviço",0,IF(AND(AUTOEVENTO="Manual",$M223=1),0,IF(OFFSET(CRONOPLE!$F$14,$M223,AR$13)="",10^12,OFFSET(CRONOPLE!$F$14,$M223,AR$13))))</f>
        <v>1000000000000</v>
      </c>
      <c r="AS223" s="215">
        <f ca="1">IF($D223&lt;&gt;"Serviço",0,IF(AND(AUTOEVENTO="Manual",$M223=1),0,IF(OFFSET(CRONOPLE!$F$14,$M223,AS$13)="",10^12,OFFSET(CRONOPLE!$F$14,$M223,AS$13))))</f>
        <v>1000000000000</v>
      </c>
      <c r="AT223" s="215">
        <f ca="1">IF($D223&lt;&gt;"Serviço",0,IF(AND(AUTOEVENTO="Manual",$M223=1),0,IF(OFFSET(CRONOPLE!$F$14,$M223,AT$13)="",10^12,OFFSET(CRONOPLE!$F$14,$M223,AT$13))))</f>
        <v>1000000000000</v>
      </c>
      <c r="AU223" s="215">
        <f ca="1">IF($D223&lt;&gt;"Serviço",0,IF(AND(AUTOEVENTO="Manual",$M223=1),0,IF(OFFSET(CRONOPLE!$F$14,$M223,AU$13)="",10^12,OFFSET(CRONOPLE!$F$14,$M223,AU$13))))</f>
        <v>1000000000000</v>
      </c>
      <c r="AV223" s="215">
        <f ca="1">IF($D223&lt;&gt;"Serviço",0,IF(AND(AUTOEVENTO="Manual",$M223=1),0,IF(OFFSET(CRONOPLE!$F$14,$M223,AV$13)="",10^12,OFFSET(CRONOPLE!$F$14,$M223,AV$13))))</f>
        <v>1000000000000</v>
      </c>
      <c r="AX223" s="216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6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6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6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6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6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6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6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6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6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37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5" t="str">
        <f ca="1">OFFSET(ORÇAMENTO!N$15,ROW(D224)-ROW(D$15),0)</f>
        <v>Serviço</v>
      </c>
      <c r="E224" s="205" t="str">
        <f ca="1">OFFSET(ORÇAMENTO!O$15,ROW(E224)-ROW(E$15),0)</f>
        <v>-</v>
      </c>
      <c r="F224" s="206" t="str">
        <f ca="1">OFFSET(ORÇAMENTO!R$15,ROW(F224)-ROW(F$15),0)</f>
        <v>(abra o arquivo 'Referência 05-2023.xls)</v>
      </c>
      <c r="G224" s="207" t="str">
        <f ca="1">IF($D224&lt;&gt;"Serviço","",OFFSET(ORÇAMENTO!S$15,ROW(G224)-ROW(G$15),0))</f>
        <v>-</v>
      </c>
      <c r="H224" s="151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1"/>
      <c r="K224" s="208"/>
      <c r="L224" s="209" t="s">
        <v>254</v>
      </c>
      <c r="M224" s="210">
        <f ca="1">IF($D224&lt;&gt;"Serviço","",IF(AUTOEVENTO="manual",$A224,IF(ISERROR(MATCH($A224,$A$15:OFFSET($A224,-1,0),0)),MAX($M$15:OFFSET(M224,-1,0))+1,INDEX($M$15:OFFSET(M224,-1,0),MATCH($A224,$A$15:OFFSET($A224,-1,0),0)))))</f>
        <v>5</v>
      </c>
      <c r="N224" s="211" t="str">
        <f ca="1">IF($D224&lt;&gt;"Serviço","",IF(AUTOEVENTO="Manual",IF($A224=0,"&lt;-- defina o número do agrupador",OFFSET(EVENTOS!$D$14,$A224,0)),OFFSET($F$15,$A224,0)))</f>
        <v>PINTURAS E TEXTURAS</v>
      </c>
      <c r="O224" s="212"/>
      <c r="Q224" s="212"/>
      <c r="R224" s="213"/>
      <c r="S224" s="213"/>
      <c r="T224" s="213"/>
      <c r="U224" s="213"/>
      <c r="V224" s="213"/>
      <c r="W224" s="213"/>
      <c r="X224" s="213"/>
      <c r="Y224" s="213"/>
      <c r="Z224" s="214"/>
      <c r="AB224" s="592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3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3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3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3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3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3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3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3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4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5">
        <f ca="1">IF($D224&lt;&gt;"Serviço",0,IF(AND(AUTOEVENTO="Manual",$M224=1),0,IF(OFFSET(CRONOPLE!$F$14,$M224,AM$13)="",10^12,OFFSET(CRONOPLE!$F$14,$M224,AM$13))))</f>
        <v>2</v>
      </c>
      <c r="AN224" s="215">
        <f ca="1">IF($D224&lt;&gt;"Serviço",0,IF(AND(AUTOEVENTO="Manual",$M224=1),0,IF(OFFSET(CRONOPLE!$F$14,$M224,AN$13)="",10^12,OFFSET(CRONOPLE!$F$14,$M224,AN$13))))</f>
        <v>2</v>
      </c>
      <c r="AO224" s="215">
        <f ca="1">IF($D224&lt;&gt;"Serviço",0,IF(AND(AUTOEVENTO="Manual",$M224=1),0,IF(OFFSET(CRONOPLE!$F$14,$M224,AO$13)="",10^12,OFFSET(CRONOPLE!$F$14,$M224,AO$13))))</f>
        <v>3</v>
      </c>
      <c r="AP224" s="215">
        <f ca="1">IF($D224&lt;&gt;"Serviço",0,IF(AND(AUTOEVENTO="Manual",$M224=1),0,IF(OFFSET(CRONOPLE!$F$14,$M224,AP$13)="",10^12,OFFSET(CRONOPLE!$F$14,$M224,AP$13))))</f>
        <v>1000000000000</v>
      </c>
      <c r="AQ224" s="215">
        <f ca="1">IF($D224&lt;&gt;"Serviço",0,IF(AND(AUTOEVENTO="Manual",$M224=1),0,IF(OFFSET(CRONOPLE!$F$14,$M224,AQ$13)="",10^12,OFFSET(CRONOPLE!$F$14,$M224,AQ$13))))</f>
        <v>1000000000000</v>
      </c>
      <c r="AR224" s="215">
        <f ca="1">IF($D224&lt;&gt;"Serviço",0,IF(AND(AUTOEVENTO="Manual",$M224=1),0,IF(OFFSET(CRONOPLE!$F$14,$M224,AR$13)="",10^12,OFFSET(CRONOPLE!$F$14,$M224,AR$13))))</f>
        <v>1000000000000</v>
      </c>
      <c r="AS224" s="215">
        <f ca="1">IF($D224&lt;&gt;"Serviço",0,IF(AND(AUTOEVENTO="Manual",$M224=1),0,IF(OFFSET(CRONOPLE!$F$14,$M224,AS$13)="",10^12,OFFSET(CRONOPLE!$F$14,$M224,AS$13))))</f>
        <v>1000000000000</v>
      </c>
      <c r="AT224" s="215">
        <f ca="1">IF($D224&lt;&gt;"Serviço",0,IF(AND(AUTOEVENTO="Manual",$M224=1),0,IF(OFFSET(CRONOPLE!$F$14,$M224,AT$13)="",10^12,OFFSET(CRONOPLE!$F$14,$M224,AT$13))))</f>
        <v>1000000000000</v>
      </c>
      <c r="AU224" s="215">
        <f ca="1">IF($D224&lt;&gt;"Serviço",0,IF(AND(AUTOEVENTO="Manual",$M224=1),0,IF(OFFSET(CRONOPLE!$F$14,$M224,AU$13)="",10^12,OFFSET(CRONOPLE!$F$14,$M224,AU$13))))</f>
        <v>1000000000000</v>
      </c>
      <c r="AV224" s="215">
        <f ca="1">IF($D224&lt;&gt;"Serviço",0,IF(AND(AUTOEVENTO="Manual",$M224=1),0,IF(OFFSET(CRONOPLE!$F$14,$M224,AV$13)="",10^12,OFFSET(CRONOPLE!$F$14,$M224,AV$13))))</f>
        <v>1000000000000</v>
      </c>
      <c r="AX224" s="216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6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6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6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6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6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6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6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6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6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37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5" t="str">
        <f ca="1">OFFSET(ORÇAMENTO!N$15,ROW(D225)-ROW(D$15),0)</f>
        <v>Serviço</v>
      </c>
      <c r="E225" s="205" t="str">
        <f ca="1">OFFSET(ORÇAMENTO!O$15,ROW(E225)-ROW(E$15),0)</f>
        <v>-</v>
      </c>
      <c r="F225" s="206" t="str">
        <f ca="1">OFFSET(ORÇAMENTO!R$15,ROW(F225)-ROW(F$15),0)</f>
        <v>(abra o arquivo 'Referência 05-2023.xls)</v>
      </c>
      <c r="G225" s="207" t="str">
        <f ca="1">IF($D225&lt;&gt;"Serviço","",OFFSET(ORÇAMENTO!S$15,ROW(G225)-ROW(G$15),0))</f>
        <v>-</v>
      </c>
      <c r="H225" s="151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1"/>
      <c r="K225" s="208"/>
      <c r="L225" s="209" t="s">
        <v>254</v>
      </c>
      <c r="M225" s="210">
        <f ca="1">IF($D225&lt;&gt;"Serviço","",IF(AUTOEVENTO="manual",$A225,IF(ISERROR(MATCH($A225,$A$15:OFFSET($A225,-1,0),0)),MAX($M$15:OFFSET(M225,-1,0))+1,INDEX($M$15:OFFSET(M225,-1,0),MATCH($A225,$A$15:OFFSET($A225,-1,0),0)))))</f>
        <v>5</v>
      </c>
      <c r="N225" s="211" t="str">
        <f ca="1">IF($D225&lt;&gt;"Serviço","",IF(AUTOEVENTO="Manual",IF($A225=0,"&lt;-- defina o número do agrupador",OFFSET(EVENTOS!$D$14,$A225,0)),OFFSET($F$15,$A225,0)))</f>
        <v>PINTURAS E TEXTURAS</v>
      </c>
      <c r="O225" s="212"/>
      <c r="Q225" s="212"/>
      <c r="R225" s="213"/>
      <c r="S225" s="213"/>
      <c r="T225" s="213"/>
      <c r="U225" s="213"/>
      <c r="V225" s="213"/>
      <c r="W225" s="213"/>
      <c r="X225" s="213"/>
      <c r="Y225" s="213"/>
      <c r="Z225" s="214"/>
      <c r="AB225" s="592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3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3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3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3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3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3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3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3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4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5">
        <f ca="1">IF($D225&lt;&gt;"Serviço",0,IF(AND(AUTOEVENTO="Manual",$M225=1),0,IF(OFFSET(CRONOPLE!$F$14,$M225,AM$13)="",10^12,OFFSET(CRONOPLE!$F$14,$M225,AM$13))))</f>
        <v>2</v>
      </c>
      <c r="AN225" s="215">
        <f ca="1">IF($D225&lt;&gt;"Serviço",0,IF(AND(AUTOEVENTO="Manual",$M225=1),0,IF(OFFSET(CRONOPLE!$F$14,$M225,AN$13)="",10^12,OFFSET(CRONOPLE!$F$14,$M225,AN$13))))</f>
        <v>2</v>
      </c>
      <c r="AO225" s="215">
        <f ca="1">IF($D225&lt;&gt;"Serviço",0,IF(AND(AUTOEVENTO="Manual",$M225=1),0,IF(OFFSET(CRONOPLE!$F$14,$M225,AO$13)="",10^12,OFFSET(CRONOPLE!$F$14,$M225,AO$13))))</f>
        <v>3</v>
      </c>
      <c r="AP225" s="215">
        <f ca="1">IF($D225&lt;&gt;"Serviço",0,IF(AND(AUTOEVENTO="Manual",$M225=1),0,IF(OFFSET(CRONOPLE!$F$14,$M225,AP$13)="",10^12,OFFSET(CRONOPLE!$F$14,$M225,AP$13))))</f>
        <v>1000000000000</v>
      </c>
      <c r="AQ225" s="215">
        <f ca="1">IF($D225&lt;&gt;"Serviço",0,IF(AND(AUTOEVENTO="Manual",$M225=1),0,IF(OFFSET(CRONOPLE!$F$14,$M225,AQ$13)="",10^12,OFFSET(CRONOPLE!$F$14,$M225,AQ$13))))</f>
        <v>1000000000000</v>
      </c>
      <c r="AR225" s="215">
        <f ca="1">IF($D225&lt;&gt;"Serviço",0,IF(AND(AUTOEVENTO="Manual",$M225=1),0,IF(OFFSET(CRONOPLE!$F$14,$M225,AR$13)="",10^12,OFFSET(CRONOPLE!$F$14,$M225,AR$13))))</f>
        <v>1000000000000</v>
      </c>
      <c r="AS225" s="215">
        <f ca="1">IF($D225&lt;&gt;"Serviço",0,IF(AND(AUTOEVENTO="Manual",$M225=1),0,IF(OFFSET(CRONOPLE!$F$14,$M225,AS$13)="",10^12,OFFSET(CRONOPLE!$F$14,$M225,AS$13))))</f>
        <v>1000000000000</v>
      </c>
      <c r="AT225" s="215">
        <f ca="1">IF($D225&lt;&gt;"Serviço",0,IF(AND(AUTOEVENTO="Manual",$M225=1),0,IF(OFFSET(CRONOPLE!$F$14,$M225,AT$13)="",10^12,OFFSET(CRONOPLE!$F$14,$M225,AT$13))))</f>
        <v>1000000000000</v>
      </c>
      <c r="AU225" s="215">
        <f ca="1">IF($D225&lt;&gt;"Serviço",0,IF(AND(AUTOEVENTO="Manual",$M225=1),0,IF(OFFSET(CRONOPLE!$F$14,$M225,AU$13)="",10^12,OFFSET(CRONOPLE!$F$14,$M225,AU$13))))</f>
        <v>1000000000000</v>
      </c>
      <c r="AV225" s="215">
        <f ca="1">IF($D225&lt;&gt;"Serviço",0,IF(AND(AUTOEVENTO="Manual",$M225=1),0,IF(OFFSET(CRONOPLE!$F$14,$M225,AV$13)="",10^12,OFFSET(CRONOPLE!$F$14,$M225,AV$13))))</f>
        <v>1000000000000</v>
      </c>
      <c r="AX225" s="216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6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6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6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6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6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6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6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6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6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37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5" t="str">
        <f ca="1">OFFSET(ORÇAMENTO!N$15,ROW(D226)-ROW(D$15),0)</f>
        <v>Serviço</v>
      </c>
      <c r="E226" s="205" t="str">
        <f ca="1">OFFSET(ORÇAMENTO!O$15,ROW(E226)-ROW(E$15),0)</f>
        <v>-</v>
      </c>
      <c r="F226" s="206" t="str">
        <f ca="1">OFFSET(ORÇAMENTO!R$15,ROW(F226)-ROW(F$15),0)</f>
        <v>(abra o arquivo 'Referência 05-2023.xls)</v>
      </c>
      <c r="G226" s="207" t="str">
        <f ca="1">IF($D226&lt;&gt;"Serviço","",OFFSET(ORÇAMENTO!S$15,ROW(G226)-ROW(G$15),0))</f>
        <v>-</v>
      </c>
      <c r="H226" s="151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1"/>
      <c r="K226" s="208"/>
      <c r="L226" s="209" t="s">
        <v>254</v>
      </c>
      <c r="M226" s="210">
        <f ca="1">IF($D226&lt;&gt;"Serviço","",IF(AUTOEVENTO="manual",$A226,IF(ISERROR(MATCH($A226,$A$15:OFFSET($A226,-1,0),0)),MAX($M$15:OFFSET(M226,-1,0))+1,INDEX($M$15:OFFSET(M226,-1,0),MATCH($A226,$A$15:OFFSET($A226,-1,0),0)))))</f>
        <v>5</v>
      </c>
      <c r="N226" s="211" t="str">
        <f ca="1">IF($D226&lt;&gt;"Serviço","",IF(AUTOEVENTO="Manual",IF($A226=0,"&lt;-- defina o número do agrupador",OFFSET(EVENTOS!$D$14,$A226,0)),OFFSET($F$15,$A226,0)))</f>
        <v>PINTURAS E TEXTURAS</v>
      </c>
      <c r="O226" s="212"/>
      <c r="Q226" s="212"/>
      <c r="R226" s="213"/>
      <c r="S226" s="213"/>
      <c r="T226" s="213"/>
      <c r="U226" s="213"/>
      <c r="V226" s="213"/>
      <c r="W226" s="213"/>
      <c r="X226" s="213"/>
      <c r="Y226" s="213"/>
      <c r="Z226" s="214"/>
      <c r="AB226" s="592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3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3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3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3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3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3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3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3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4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5">
        <f ca="1">IF($D226&lt;&gt;"Serviço",0,IF(AND(AUTOEVENTO="Manual",$M226=1),0,IF(OFFSET(CRONOPLE!$F$14,$M226,AM$13)="",10^12,OFFSET(CRONOPLE!$F$14,$M226,AM$13))))</f>
        <v>2</v>
      </c>
      <c r="AN226" s="215">
        <f ca="1">IF($D226&lt;&gt;"Serviço",0,IF(AND(AUTOEVENTO="Manual",$M226=1),0,IF(OFFSET(CRONOPLE!$F$14,$M226,AN$13)="",10^12,OFFSET(CRONOPLE!$F$14,$M226,AN$13))))</f>
        <v>2</v>
      </c>
      <c r="AO226" s="215">
        <f ca="1">IF($D226&lt;&gt;"Serviço",0,IF(AND(AUTOEVENTO="Manual",$M226=1),0,IF(OFFSET(CRONOPLE!$F$14,$M226,AO$13)="",10^12,OFFSET(CRONOPLE!$F$14,$M226,AO$13))))</f>
        <v>3</v>
      </c>
      <c r="AP226" s="215">
        <f ca="1">IF($D226&lt;&gt;"Serviço",0,IF(AND(AUTOEVENTO="Manual",$M226=1),0,IF(OFFSET(CRONOPLE!$F$14,$M226,AP$13)="",10^12,OFFSET(CRONOPLE!$F$14,$M226,AP$13))))</f>
        <v>1000000000000</v>
      </c>
      <c r="AQ226" s="215">
        <f ca="1">IF($D226&lt;&gt;"Serviço",0,IF(AND(AUTOEVENTO="Manual",$M226=1),0,IF(OFFSET(CRONOPLE!$F$14,$M226,AQ$13)="",10^12,OFFSET(CRONOPLE!$F$14,$M226,AQ$13))))</f>
        <v>1000000000000</v>
      </c>
      <c r="AR226" s="215">
        <f ca="1">IF($D226&lt;&gt;"Serviço",0,IF(AND(AUTOEVENTO="Manual",$M226=1),0,IF(OFFSET(CRONOPLE!$F$14,$M226,AR$13)="",10^12,OFFSET(CRONOPLE!$F$14,$M226,AR$13))))</f>
        <v>1000000000000</v>
      </c>
      <c r="AS226" s="215">
        <f ca="1">IF($D226&lt;&gt;"Serviço",0,IF(AND(AUTOEVENTO="Manual",$M226=1),0,IF(OFFSET(CRONOPLE!$F$14,$M226,AS$13)="",10^12,OFFSET(CRONOPLE!$F$14,$M226,AS$13))))</f>
        <v>1000000000000</v>
      </c>
      <c r="AT226" s="215">
        <f ca="1">IF($D226&lt;&gt;"Serviço",0,IF(AND(AUTOEVENTO="Manual",$M226=1),0,IF(OFFSET(CRONOPLE!$F$14,$M226,AT$13)="",10^12,OFFSET(CRONOPLE!$F$14,$M226,AT$13))))</f>
        <v>1000000000000</v>
      </c>
      <c r="AU226" s="215">
        <f ca="1">IF($D226&lt;&gt;"Serviço",0,IF(AND(AUTOEVENTO="Manual",$M226=1),0,IF(OFFSET(CRONOPLE!$F$14,$M226,AU$13)="",10^12,OFFSET(CRONOPLE!$F$14,$M226,AU$13))))</f>
        <v>1000000000000</v>
      </c>
      <c r="AV226" s="215">
        <f ca="1">IF($D226&lt;&gt;"Serviço",0,IF(AND(AUTOEVENTO="Manual",$M226=1),0,IF(OFFSET(CRONOPLE!$F$14,$M226,AV$13)="",10^12,OFFSET(CRONOPLE!$F$14,$M226,AV$13))))</f>
        <v>1000000000000</v>
      </c>
      <c r="AX226" s="216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6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6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6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6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6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6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6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6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6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37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5" t="str">
        <f ca="1">OFFSET(ORÇAMENTO!N$15,ROW(D227)-ROW(D$15),0)</f>
        <v>Serviço</v>
      </c>
      <c r="E227" s="205" t="str">
        <f ca="1">OFFSET(ORÇAMENTO!O$15,ROW(E227)-ROW(E$15),0)</f>
        <v>-</v>
      </c>
      <c r="F227" s="206" t="str">
        <f ca="1">OFFSET(ORÇAMENTO!R$15,ROW(F227)-ROW(F$15),0)</f>
        <v>(abra o arquivo 'Referência 05-2023.xls)</v>
      </c>
      <c r="G227" s="207" t="str">
        <f ca="1">IF($D227&lt;&gt;"Serviço","",OFFSET(ORÇAMENTO!S$15,ROW(G227)-ROW(G$15),0))</f>
        <v>-</v>
      </c>
      <c r="H227" s="151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1"/>
      <c r="K227" s="208"/>
      <c r="L227" s="209" t="s">
        <v>254</v>
      </c>
      <c r="M227" s="210">
        <f ca="1">IF($D227&lt;&gt;"Serviço","",IF(AUTOEVENTO="manual",$A227,IF(ISERROR(MATCH($A227,$A$15:OFFSET($A227,-1,0),0)),MAX($M$15:OFFSET(M227,-1,0))+1,INDEX($M$15:OFFSET(M227,-1,0),MATCH($A227,$A$15:OFFSET($A227,-1,0),0)))))</f>
        <v>5</v>
      </c>
      <c r="N227" s="211" t="str">
        <f ca="1">IF($D227&lt;&gt;"Serviço","",IF(AUTOEVENTO="Manual",IF($A227=0,"&lt;-- defina o número do agrupador",OFFSET(EVENTOS!$D$14,$A227,0)),OFFSET($F$15,$A227,0)))</f>
        <v>PINTURAS E TEXTURAS</v>
      </c>
      <c r="O227" s="212"/>
      <c r="Q227" s="212"/>
      <c r="R227" s="213"/>
      <c r="S227" s="213"/>
      <c r="T227" s="213"/>
      <c r="U227" s="213"/>
      <c r="V227" s="213"/>
      <c r="W227" s="213"/>
      <c r="X227" s="213"/>
      <c r="Y227" s="213"/>
      <c r="Z227" s="214"/>
      <c r="AB227" s="592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3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3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3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3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3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3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3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3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4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5">
        <f ca="1">IF($D227&lt;&gt;"Serviço",0,IF(AND(AUTOEVENTO="Manual",$M227=1),0,IF(OFFSET(CRONOPLE!$F$14,$M227,AM$13)="",10^12,OFFSET(CRONOPLE!$F$14,$M227,AM$13))))</f>
        <v>2</v>
      </c>
      <c r="AN227" s="215">
        <f ca="1">IF($D227&lt;&gt;"Serviço",0,IF(AND(AUTOEVENTO="Manual",$M227=1),0,IF(OFFSET(CRONOPLE!$F$14,$M227,AN$13)="",10^12,OFFSET(CRONOPLE!$F$14,$M227,AN$13))))</f>
        <v>2</v>
      </c>
      <c r="AO227" s="215">
        <f ca="1">IF($D227&lt;&gt;"Serviço",0,IF(AND(AUTOEVENTO="Manual",$M227=1),0,IF(OFFSET(CRONOPLE!$F$14,$M227,AO$13)="",10^12,OFFSET(CRONOPLE!$F$14,$M227,AO$13))))</f>
        <v>3</v>
      </c>
      <c r="AP227" s="215">
        <f ca="1">IF($D227&lt;&gt;"Serviço",0,IF(AND(AUTOEVENTO="Manual",$M227=1),0,IF(OFFSET(CRONOPLE!$F$14,$M227,AP$13)="",10^12,OFFSET(CRONOPLE!$F$14,$M227,AP$13))))</f>
        <v>1000000000000</v>
      </c>
      <c r="AQ227" s="215">
        <f ca="1">IF($D227&lt;&gt;"Serviço",0,IF(AND(AUTOEVENTO="Manual",$M227=1),0,IF(OFFSET(CRONOPLE!$F$14,$M227,AQ$13)="",10^12,OFFSET(CRONOPLE!$F$14,$M227,AQ$13))))</f>
        <v>1000000000000</v>
      </c>
      <c r="AR227" s="215">
        <f ca="1">IF($D227&lt;&gt;"Serviço",0,IF(AND(AUTOEVENTO="Manual",$M227=1),0,IF(OFFSET(CRONOPLE!$F$14,$M227,AR$13)="",10^12,OFFSET(CRONOPLE!$F$14,$M227,AR$13))))</f>
        <v>1000000000000</v>
      </c>
      <c r="AS227" s="215">
        <f ca="1">IF($D227&lt;&gt;"Serviço",0,IF(AND(AUTOEVENTO="Manual",$M227=1),0,IF(OFFSET(CRONOPLE!$F$14,$M227,AS$13)="",10^12,OFFSET(CRONOPLE!$F$14,$M227,AS$13))))</f>
        <v>1000000000000</v>
      </c>
      <c r="AT227" s="215">
        <f ca="1">IF($D227&lt;&gt;"Serviço",0,IF(AND(AUTOEVENTO="Manual",$M227=1),0,IF(OFFSET(CRONOPLE!$F$14,$M227,AT$13)="",10^12,OFFSET(CRONOPLE!$F$14,$M227,AT$13))))</f>
        <v>1000000000000</v>
      </c>
      <c r="AU227" s="215">
        <f ca="1">IF($D227&lt;&gt;"Serviço",0,IF(AND(AUTOEVENTO="Manual",$M227=1),0,IF(OFFSET(CRONOPLE!$F$14,$M227,AU$13)="",10^12,OFFSET(CRONOPLE!$F$14,$M227,AU$13))))</f>
        <v>1000000000000</v>
      </c>
      <c r="AV227" s="215">
        <f ca="1">IF($D227&lt;&gt;"Serviço",0,IF(AND(AUTOEVENTO="Manual",$M227=1),0,IF(OFFSET(CRONOPLE!$F$14,$M227,AV$13)="",10^12,OFFSET(CRONOPLE!$F$14,$M227,AV$13))))</f>
        <v>1000000000000</v>
      </c>
      <c r="AX227" s="216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6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6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6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6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6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6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6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6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6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37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5" t="str">
        <f ca="1">OFFSET(ORÇAMENTO!N$15,ROW(D228)-ROW(D$15),0)</f>
        <v>Serviço</v>
      </c>
      <c r="E228" s="205" t="str">
        <f ca="1">OFFSET(ORÇAMENTO!O$15,ROW(E228)-ROW(E$15),0)</f>
        <v>-</v>
      </c>
      <c r="F228" s="206" t="str">
        <f ca="1">OFFSET(ORÇAMENTO!R$15,ROW(F228)-ROW(F$15),0)</f>
        <v>(abra o arquivo 'Referência 05-2023.xls)</v>
      </c>
      <c r="G228" s="207" t="str">
        <f ca="1">IF($D228&lt;&gt;"Serviço","",OFFSET(ORÇAMENTO!S$15,ROW(G228)-ROW(G$15),0))</f>
        <v>-</v>
      </c>
      <c r="H228" s="151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1"/>
      <c r="K228" s="208"/>
      <c r="L228" s="209" t="s">
        <v>254</v>
      </c>
      <c r="M228" s="210">
        <f ca="1">IF($D228&lt;&gt;"Serviço","",IF(AUTOEVENTO="manual",$A228,IF(ISERROR(MATCH($A228,$A$15:OFFSET($A228,-1,0),0)),MAX($M$15:OFFSET(M228,-1,0))+1,INDEX($M$15:OFFSET(M228,-1,0),MATCH($A228,$A$15:OFFSET($A228,-1,0),0)))))</f>
        <v>5</v>
      </c>
      <c r="N228" s="211" t="str">
        <f ca="1">IF($D228&lt;&gt;"Serviço","",IF(AUTOEVENTO="Manual",IF($A228=0,"&lt;-- defina o número do agrupador",OFFSET(EVENTOS!$D$14,$A228,0)),OFFSET($F$15,$A228,0)))</f>
        <v>PINTURAS E TEXTURAS</v>
      </c>
      <c r="O228" s="212"/>
      <c r="Q228" s="212"/>
      <c r="R228" s="213"/>
      <c r="S228" s="213"/>
      <c r="T228" s="213"/>
      <c r="U228" s="213"/>
      <c r="V228" s="213"/>
      <c r="W228" s="213"/>
      <c r="X228" s="213"/>
      <c r="Y228" s="213"/>
      <c r="Z228" s="214"/>
      <c r="AB228" s="592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3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3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3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3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3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3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3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3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4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5">
        <f ca="1">IF($D228&lt;&gt;"Serviço",0,IF(AND(AUTOEVENTO="Manual",$M228=1),0,IF(OFFSET(CRONOPLE!$F$14,$M228,AM$13)="",10^12,OFFSET(CRONOPLE!$F$14,$M228,AM$13))))</f>
        <v>2</v>
      </c>
      <c r="AN228" s="215">
        <f ca="1">IF($D228&lt;&gt;"Serviço",0,IF(AND(AUTOEVENTO="Manual",$M228=1),0,IF(OFFSET(CRONOPLE!$F$14,$M228,AN$13)="",10^12,OFFSET(CRONOPLE!$F$14,$M228,AN$13))))</f>
        <v>2</v>
      </c>
      <c r="AO228" s="215">
        <f ca="1">IF($D228&lt;&gt;"Serviço",0,IF(AND(AUTOEVENTO="Manual",$M228=1),0,IF(OFFSET(CRONOPLE!$F$14,$M228,AO$13)="",10^12,OFFSET(CRONOPLE!$F$14,$M228,AO$13))))</f>
        <v>3</v>
      </c>
      <c r="AP228" s="215">
        <f ca="1">IF($D228&lt;&gt;"Serviço",0,IF(AND(AUTOEVENTO="Manual",$M228=1),0,IF(OFFSET(CRONOPLE!$F$14,$M228,AP$13)="",10^12,OFFSET(CRONOPLE!$F$14,$M228,AP$13))))</f>
        <v>1000000000000</v>
      </c>
      <c r="AQ228" s="215">
        <f ca="1">IF($D228&lt;&gt;"Serviço",0,IF(AND(AUTOEVENTO="Manual",$M228=1),0,IF(OFFSET(CRONOPLE!$F$14,$M228,AQ$13)="",10^12,OFFSET(CRONOPLE!$F$14,$M228,AQ$13))))</f>
        <v>1000000000000</v>
      </c>
      <c r="AR228" s="215">
        <f ca="1">IF($D228&lt;&gt;"Serviço",0,IF(AND(AUTOEVENTO="Manual",$M228=1),0,IF(OFFSET(CRONOPLE!$F$14,$M228,AR$13)="",10^12,OFFSET(CRONOPLE!$F$14,$M228,AR$13))))</f>
        <v>1000000000000</v>
      </c>
      <c r="AS228" s="215">
        <f ca="1">IF($D228&lt;&gt;"Serviço",0,IF(AND(AUTOEVENTO="Manual",$M228=1),0,IF(OFFSET(CRONOPLE!$F$14,$M228,AS$13)="",10^12,OFFSET(CRONOPLE!$F$14,$M228,AS$13))))</f>
        <v>1000000000000</v>
      </c>
      <c r="AT228" s="215">
        <f ca="1">IF($D228&lt;&gt;"Serviço",0,IF(AND(AUTOEVENTO="Manual",$M228=1),0,IF(OFFSET(CRONOPLE!$F$14,$M228,AT$13)="",10^12,OFFSET(CRONOPLE!$F$14,$M228,AT$13))))</f>
        <v>1000000000000</v>
      </c>
      <c r="AU228" s="215">
        <f ca="1">IF($D228&lt;&gt;"Serviço",0,IF(AND(AUTOEVENTO="Manual",$M228=1),0,IF(OFFSET(CRONOPLE!$F$14,$M228,AU$13)="",10^12,OFFSET(CRONOPLE!$F$14,$M228,AU$13))))</f>
        <v>1000000000000</v>
      </c>
      <c r="AV228" s="215">
        <f ca="1">IF($D228&lt;&gt;"Serviço",0,IF(AND(AUTOEVENTO="Manual",$M228=1),0,IF(OFFSET(CRONOPLE!$F$14,$M228,AV$13)="",10^12,OFFSET(CRONOPLE!$F$14,$M228,AV$13))))</f>
        <v>1000000000000</v>
      </c>
      <c r="AX228" s="216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6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6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6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6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6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6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6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6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6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37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5" t="str">
        <f ca="1">OFFSET(ORÇAMENTO!N$15,ROW(D229)-ROW(D$15),0)</f>
        <v>Serviço</v>
      </c>
      <c r="E229" s="205" t="str">
        <f ca="1">OFFSET(ORÇAMENTO!O$15,ROW(E229)-ROW(E$15),0)</f>
        <v>-</v>
      </c>
      <c r="F229" s="206" t="str">
        <f ca="1">OFFSET(ORÇAMENTO!R$15,ROW(F229)-ROW(F$15),0)</f>
        <v>(abra o arquivo 'Referência 05-2023.xls)</v>
      </c>
      <c r="G229" s="207" t="str">
        <f ca="1">IF($D229&lt;&gt;"Serviço","",OFFSET(ORÇAMENTO!S$15,ROW(G229)-ROW(G$15),0))</f>
        <v>-</v>
      </c>
      <c r="H229" s="151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1"/>
      <c r="K229" s="208"/>
      <c r="L229" s="209" t="s">
        <v>254</v>
      </c>
      <c r="M229" s="210">
        <f ca="1">IF($D229&lt;&gt;"Serviço","",IF(AUTOEVENTO="manual",$A229,IF(ISERROR(MATCH($A229,$A$15:OFFSET($A229,-1,0),0)),MAX($M$15:OFFSET(M229,-1,0))+1,INDEX($M$15:OFFSET(M229,-1,0),MATCH($A229,$A$15:OFFSET($A229,-1,0),0)))))</f>
        <v>5</v>
      </c>
      <c r="N229" s="211" t="str">
        <f ca="1">IF($D229&lt;&gt;"Serviço","",IF(AUTOEVENTO="Manual",IF($A229=0,"&lt;-- defina o número do agrupador",OFFSET(EVENTOS!$D$14,$A229,0)),OFFSET($F$15,$A229,0)))</f>
        <v>PINTURAS E TEXTURAS</v>
      </c>
      <c r="O229" s="212"/>
      <c r="Q229" s="212"/>
      <c r="R229" s="213"/>
      <c r="S229" s="213"/>
      <c r="T229" s="213"/>
      <c r="U229" s="213"/>
      <c r="V229" s="213"/>
      <c r="W229" s="213"/>
      <c r="X229" s="213"/>
      <c r="Y229" s="213"/>
      <c r="Z229" s="214"/>
      <c r="AB229" s="592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3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3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3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3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3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3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3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3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4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5">
        <f ca="1">IF($D229&lt;&gt;"Serviço",0,IF(AND(AUTOEVENTO="Manual",$M229=1),0,IF(OFFSET(CRONOPLE!$F$14,$M229,AM$13)="",10^12,OFFSET(CRONOPLE!$F$14,$M229,AM$13))))</f>
        <v>2</v>
      </c>
      <c r="AN229" s="215">
        <f ca="1">IF($D229&lt;&gt;"Serviço",0,IF(AND(AUTOEVENTO="Manual",$M229=1),0,IF(OFFSET(CRONOPLE!$F$14,$M229,AN$13)="",10^12,OFFSET(CRONOPLE!$F$14,$M229,AN$13))))</f>
        <v>2</v>
      </c>
      <c r="AO229" s="215">
        <f ca="1">IF($D229&lt;&gt;"Serviço",0,IF(AND(AUTOEVENTO="Manual",$M229=1),0,IF(OFFSET(CRONOPLE!$F$14,$M229,AO$13)="",10^12,OFFSET(CRONOPLE!$F$14,$M229,AO$13))))</f>
        <v>3</v>
      </c>
      <c r="AP229" s="215">
        <f ca="1">IF($D229&lt;&gt;"Serviço",0,IF(AND(AUTOEVENTO="Manual",$M229=1),0,IF(OFFSET(CRONOPLE!$F$14,$M229,AP$13)="",10^12,OFFSET(CRONOPLE!$F$14,$M229,AP$13))))</f>
        <v>1000000000000</v>
      </c>
      <c r="AQ229" s="215">
        <f ca="1">IF($D229&lt;&gt;"Serviço",0,IF(AND(AUTOEVENTO="Manual",$M229=1),0,IF(OFFSET(CRONOPLE!$F$14,$M229,AQ$13)="",10^12,OFFSET(CRONOPLE!$F$14,$M229,AQ$13))))</f>
        <v>1000000000000</v>
      </c>
      <c r="AR229" s="215">
        <f ca="1">IF($D229&lt;&gt;"Serviço",0,IF(AND(AUTOEVENTO="Manual",$M229=1),0,IF(OFFSET(CRONOPLE!$F$14,$M229,AR$13)="",10^12,OFFSET(CRONOPLE!$F$14,$M229,AR$13))))</f>
        <v>1000000000000</v>
      </c>
      <c r="AS229" s="215">
        <f ca="1">IF($D229&lt;&gt;"Serviço",0,IF(AND(AUTOEVENTO="Manual",$M229=1),0,IF(OFFSET(CRONOPLE!$F$14,$M229,AS$13)="",10^12,OFFSET(CRONOPLE!$F$14,$M229,AS$13))))</f>
        <v>1000000000000</v>
      </c>
      <c r="AT229" s="215">
        <f ca="1">IF($D229&lt;&gt;"Serviço",0,IF(AND(AUTOEVENTO="Manual",$M229=1),0,IF(OFFSET(CRONOPLE!$F$14,$M229,AT$13)="",10^12,OFFSET(CRONOPLE!$F$14,$M229,AT$13))))</f>
        <v>1000000000000</v>
      </c>
      <c r="AU229" s="215">
        <f ca="1">IF($D229&lt;&gt;"Serviço",0,IF(AND(AUTOEVENTO="Manual",$M229=1),0,IF(OFFSET(CRONOPLE!$F$14,$M229,AU$13)="",10^12,OFFSET(CRONOPLE!$F$14,$M229,AU$13))))</f>
        <v>1000000000000</v>
      </c>
      <c r="AV229" s="215">
        <f ca="1">IF($D229&lt;&gt;"Serviço",0,IF(AND(AUTOEVENTO="Manual",$M229=1),0,IF(OFFSET(CRONOPLE!$F$14,$M229,AV$13)="",10^12,OFFSET(CRONOPLE!$F$14,$M229,AV$13))))</f>
        <v>1000000000000</v>
      </c>
      <c r="AX229" s="216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6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6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6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6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6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6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6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6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6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37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5" t="str">
        <f ca="1">OFFSET(ORÇAMENTO!N$15,ROW(D230)-ROW(D$15),0)</f>
        <v>Serviço</v>
      </c>
      <c r="E230" s="205" t="str">
        <f ca="1">OFFSET(ORÇAMENTO!O$15,ROW(E230)-ROW(E$15),0)</f>
        <v>-</v>
      </c>
      <c r="F230" s="206" t="str">
        <f ca="1">OFFSET(ORÇAMENTO!R$15,ROW(F230)-ROW(F$15),0)</f>
        <v>(abra o arquivo 'Referência 05-2023.xls)</v>
      </c>
      <c r="G230" s="207" t="str">
        <f ca="1">IF($D230&lt;&gt;"Serviço","",OFFSET(ORÇAMENTO!S$15,ROW(G230)-ROW(G$15),0))</f>
        <v>-</v>
      </c>
      <c r="H230" s="151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1"/>
      <c r="K230" s="208"/>
      <c r="L230" s="209" t="s">
        <v>254</v>
      </c>
      <c r="M230" s="210">
        <f ca="1">IF($D230&lt;&gt;"Serviço","",IF(AUTOEVENTO="manual",$A230,IF(ISERROR(MATCH($A230,$A$15:OFFSET($A230,-1,0),0)),MAX($M$15:OFFSET(M230,-1,0))+1,INDEX($M$15:OFFSET(M230,-1,0),MATCH($A230,$A$15:OFFSET($A230,-1,0),0)))))</f>
        <v>5</v>
      </c>
      <c r="N230" s="211" t="str">
        <f ca="1">IF($D230&lt;&gt;"Serviço","",IF(AUTOEVENTO="Manual",IF($A230=0,"&lt;-- defina o número do agrupador",OFFSET(EVENTOS!$D$14,$A230,0)),OFFSET($F$15,$A230,0)))</f>
        <v>PINTURAS E TEXTURAS</v>
      </c>
      <c r="O230" s="212"/>
      <c r="Q230" s="212"/>
      <c r="R230" s="213"/>
      <c r="S230" s="213"/>
      <c r="T230" s="213"/>
      <c r="U230" s="213"/>
      <c r="V230" s="213"/>
      <c r="W230" s="213"/>
      <c r="X230" s="213"/>
      <c r="Y230" s="213"/>
      <c r="Z230" s="214"/>
      <c r="AB230" s="592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3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3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3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3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3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3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3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3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4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5">
        <f ca="1">IF($D230&lt;&gt;"Serviço",0,IF(AND(AUTOEVENTO="Manual",$M230=1),0,IF(OFFSET(CRONOPLE!$F$14,$M230,AM$13)="",10^12,OFFSET(CRONOPLE!$F$14,$M230,AM$13))))</f>
        <v>2</v>
      </c>
      <c r="AN230" s="215">
        <f ca="1">IF($D230&lt;&gt;"Serviço",0,IF(AND(AUTOEVENTO="Manual",$M230=1),0,IF(OFFSET(CRONOPLE!$F$14,$M230,AN$13)="",10^12,OFFSET(CRONOPLE!$F$14,$M230,AN$13))))</f>
        <v>2</v>
      </c>
      <c r="AO230" s="215">
        <f ca="1">IF($D230&lt;&gt;"Serviço",0,IF(AND(AUTOEVENTO="Manual",$M230=1),0,IF(OFFSET(CRONOPLE!$F$14,$M230,AO$13)="",10^12,OFFSET(CRONOPLE!$F$14,$M230,AO$13))))</f>
        <v>3</v>
      </c>
      <c r="AP230" s="215">
        <f ca="1">IF($D230&lt;&gt;"Serviço",0,IF(AND(AUTOEVENTO="Manual",$M230=1),0,IF(OFFSET(CRONOPLE!$F$14,$M230,AP$13)="",10^12,OFFSET(CRONOPLE!$F$14,$M230,AP$13))))</f>
        <v>1000000000000</v>
      </c>
      <c r="AQ230" s="215">
        <f ca="1">IF($D230&lt;&gt;"Serviço",0,IF(AND(AUTOEVENTO="Manual",$M230=1),0,IF(OFFSET(CRONOPLE!$F$14,$M230,AQ$13)="",10^12,OFFSET(CRONOPLE!$F$14,$M230,AQ$13))))</f>
        <v>1000000000000</v>
      </c>
      <c r="AR230" s="215">
        <f ca="1">IF($D230&lt;&gt;"Serviço",0,IF(AND(AUTOEVENTO="Manual",$M230=1),0,IF(OFFSET(CRONOPLE!$F$14,$M230,AR$13)="",10^12,OFFSET(CRONOPLE!$F$14,$M230,AR$13))))</f>
        <v>1000000000000</v>
      </c>
      <c r="AS230" s="215">
        <f ca="1">IF($D230&lt;&gt;"Serviço",0,IF(AND(AUTOEVENTO="Manual",$M230=1),0,IF(OFFSET(CRONOPLE!$F$14,$M230,AS$13)="",10^12,OFFSET(CRONOPLE!$F$14,$M230,AS$13))))</f>
        <v>1000000000000</v>
      </c>
      <c r="AT230" s="215">
        <f ca="1">IF($D230&lt;&gt;"Serviço",0,IF(AND(AUTOEVENTO="Manual",$M230=1),0,IF(OFFSET(CRONOPLE!$F$14,$M230,AT$13)="",10^12,OFFSET(CRONOPLE!$F$14,$M230,AT$13))))</f>
        <v>1000000000000</v>
      </c>
      <c r="AU230" s="215">
        <f ca="1">IF($D230&lt;&gt;"Serviço",0,IF(AND(AUTOEVENTO="Manual",$M230=1),0,IF(OFFSET(CRONOPLE!$F$14,$M230,AU$13)="",10^12,OFFSET(CRONOPLE!$F$14,$M230,AU$13))))</f>
        <v>1000000000000</v>
      </c>
      <c r="AV230" s="215">
        <f ca="1">IF($D230&lt;&gt;"Serviço",0,IF(AND(AUTOEVENTO="Manual",$M230=1),0,IF(OFFSET(CRONOPLE!$F$14,$M230,AV$13)="",10^12,OFFSET(CRONOPLE!$F$14,$M230,AV$13))))</f>
        <v>1000000000000</v>
      </c>
      <c r="AX230" s="216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6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6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6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6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6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6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6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6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6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37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5" t="str">
        <f ca="1">OFFSET(ORÇAMENTO!N$15,ROW(D231)-ROW(D$15),0)</f>
        <v>Serviço</v>
      </c>
      <c r="E231" s="205" t="str">
        <f ca="1">OFFSET(ORÇAMENTO!O$15,ROW(E231)-ROW(E$15),0)</f>
        <v>-</v>
      </c>
      <c r="F231" s="206" t="str">
        <f ca="1">OFFSET(ORÇAMENTO!R$15,ROW(F231)-ROW(F$15),0)</f>
        <v>(abra o arquivo 'Referência 05-2023.xls)</v>
      </c>
      <c r="G231" s="207" t="str">
        <f ca="1">IF($D231&lt;&gt;"Serviço","",OFFSET(ORÇAMENTO!S$15,ROW(G231)-ROW(G$15),0))</f>
        <v>-</v>
      </c>
      <c r="H231" s="151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1"/>
      <c r="K231" s="208"/>
      <c r="L231" s="209" t="s">
        <v>254</v>
      </c>
      <c r="M231" s="210">
        <f ca="1">IF($D231&lt;&gt;"Serviço","",IF(AUTOEVENTO="manual",$A231,IF(ISERROR(MATCH($A231,$A$15:OFFSET($A231,-1,0),0)),MAX($M$15:OFFSET(M231,-1,0))+1,INDEX($M$15:OFFSET(M231,-1,0),MATCH($A231,$A$15:OFFSET($A231,-1,0),0)))))</f>
        <v>5</v>
      </c>
      <c r="N231" s="211" t="str">
        <f ca="1">IF($D231&lt;&gt;"Serviço","",IF(AUTOEVENTO="Manual",IF($A231=0,"&lt;-- defina o número do agrupador",OFFSET(EVENTOS!$D$14,$A231,0)),OFFSET($F$15,$A231,0)))</f>
        <v>PINTURAS E TEXTURAS</v>
      </c>
      <c r="O231" s="212"/>
      <c r="Q231" s="212"/>
      <c r="R231" s="213"/>
      <c r="S231" s="213"/>
      <c r="T231" s="213"/>
      <c r="U231" s="213"/>
      <c r="V231" s="213"/>
      <c r="W231" s="213"/>
      <c r="X231" s="213"/>
      <c r="Y231" s="213"/>
      <c r="Z231" s="214"/>
      <c r="AB231" s="592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3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3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3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3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3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3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3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3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4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5">
        <f ca="1">IF($D231&lt;&gt;"Serviço",0,IF(AND(AUTOEVENTO="Manual",$M231=1),0,IF(OFFSET(CRONOPLE!$F$14,$M231,AM$13)="",10^12,OFFSET(CRONOPLE!$F$14,$M231,AM$13))))</f>
        <v>2</v>
      </c>
      <c r="AN231" s="215">
        <f ca="1">IF($D231&lt;&gt;"Serviço",0,IF(AND(AUTOEVENTO="Manual",$M231=1),0,IF(OFFSET(CRONOPLE!$F$14,$M231,AN$13)="",10^12,OFFSET(CRONOPLE!$F$14,$M231,AN$13))))</f>
        <v>2</v>
      </c>
      <c r="AO231" s="215">
        <f ca="1">IF($D231&lt;&gt;"Serviço",0,IF(AND(AUTOEVENTO="Manual",$M231=1),0,IF(OFFSET(CRONOPLE!$F$14,$M231,AO$13)="",10^12,OFFSET(CRONOPLE!$F$14,$M231,AO$13))))</f>
        <v>3</v>
      </c>
      <c r="AP231" s="215">
        <f ca="1">IF($D231&lt;&gt;"Serviço",0,IF(AND(AUTOEVENTO="Manual",$M231=1),0,IF(OFFSET(CRONOPLE!$F$14,$M231,AP$13)="",10^12,OFFSET(CRONOPLE!$F$14,$M231,AP$13))))</f>
        <v>1000000000000</v>
      </c>
      <c r="AQ231" s="215">
        <f ca="1">IF($D231&lt;&gt;"Serviço",0,IF(AND(AUTOEVENTO="Manual",$M231=1),0,IF(OFFSET(CRONOPLE!$F$14,$M231,AQ$13)="",10^12,OFFSET(CRONOPLE!$F$14,$M231,AQ$13))))</f>
        <v>1000000000000</v>
      </c>
      <c r="AR231" s="215">
        <f ca="1">IF($D231&lt;&gt;"Serviço",0,IF(AND(AUTOEVENTO="Manual",$M231=1),0,IF(OFFSET(CRONOPLE!$F$14,$M231,AR$13)="",10^12,OFFSET(CRONOPLE!$F$14,$M231,AR$13))))</f>
        <v>1000000000000</v>
      </c>
      <c r="AS231" s="215">
        <f ca="1">IF($D231&lt;&gt;"Serviço",0,IF(AND(AUTOEVENTO="Manual",$M231=1),0,IF(OFFSET(CRONOPLE!$F$14,$M231,AS$13)="",10^12,OFFSET(CRONOPLE!$F$14,$M231,AS$13))))</f>
        <v>1000000000000</v>
      </c>
      <c r="AT231" s="215">
        <f ca="1">IF($D231&lt;&gt;"Serviço",0,IF(AND(AUTOEVENTO="Manual",$M231=1),0,IF(OFFSET(CRONOPLE!$F$14,$M231,AT$13)="",10^12,OFFSET(CRONOPLE!$F$14,$M231,AT$13))))</f>
        <v>1000000000000</v>
      </c>
      <c r="AU231" s="215">
        <f ca="1">IF($D231&lt;&gt;"Serviço",0,IF(AND(AUTOEVENTO="Manual",$M231=1),0,IF(OFFSET(CRONOPLE!$F$14,$M231,AU$13)="",10^12,OFFSET(CRONOPLE!$F$14,$M231,AU$13))))</f>
        <v>1000000000000</v>
      </c>
      <c r="AV231" s="215">
        <f ca="1">IF($D231&lt;&gt;"Serviço",0,IF(AND(AUTOEVENTO="Manual",$M231=1),0,IF(OFFSET(CRONOPLE!$F$14,$M231,AV$13)="",10^12,OFFSET(CRONOPLE!$F$14,$M231,AV$13))))</f>
        <v>1000000000000</v>
      </c>
      <c r="AX231" s="216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6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6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6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6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6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6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6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6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6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37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5" t="str">
        <f ca="1">OFFSET(ORÇAMENTO!N$15,ROW(D232)-ROW(D$15),0)</f>
        <v>Serviço</v>
      </c>
      <c r="E232" s="205" t="str">
        <f ca="1">OFFSET(ORÇAMENTO!O$15,ROW(E232)-ROW(E$15),0)</f>
        <v>-</v>
      </c>
      <c r="F232" s="206" t="str">
        <f ca="1">OFFSET(ORÇAMENTO!R$15,ROW(F232)-ROW(F$15),0)</f>
        <v>(abra o arquivo 'Referência 05-2023.xls)</v>
      </c>
      <c r="G232" s="207" t="str">
        <f ca="1">IF($D232&lt;&gt;"Serviço","",OFFSET(ORÇAMENTO!S$15,ROW(G232)-ROW(G$15),0))</f>
        <v>-</v>
      </c>
      <c r="H232" s="151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1"/>
      <c r="K232" s="208"/>
      <c r="L232" s="209" t="s">
        <v>254</v>
      </c>
      <c r="M232" s="210">
        <f ca="1">IF($D232&lt;&gt;"Serviço","",IF(AUTOEVENTO="manual",$A232,IF(ISERROR(MATCH($A232,$A$15:OFFSET($A232,-1,0),0)),MAX($M$15:OFFSET(M232,-1,0))+1,INDEX($M$15:OFFSET(M232,-1,0),MATCH($A232,$A$15:OFFSET($A232,-1,0),0)))))</f>
        <v>5</v>
      </c>
      <c r="N232" s="211" t="str">
        <f ca="1">IF($D232&lt;&gt;"Serviço","",IF(AUTOEVENTO="Manual",IF($A232=0,"&lt;-- defina o número do agrupador",OFFSET(EVENTOS!$D$14,$A232,0)),OFFSET($F$15,$A232,0)))</f>
        <v>PINTURAS E TEXTURAS</v>
      </c>
      <c r="O232" s="212"/>
      <c r="Q232" s="212"/>
      <c r="R232" s="213"/>
      <c r="S232" s="213"/>
      <c r="T232" s="213"/>
      <c r="U232" s="213"/>
      <c r="V232" s="213"/>
      <c r="W232" s="213"/>
      <c r="X232" s="213"/>
      <c r="Y232" s="213"/>
      <c r="Z232" s="214"/>
      <c r="AB232" s="592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3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3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3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3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3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3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3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3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4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5">
        <f ca="1">IF($D232&lt;&gt;"Serviço",0,IF(AND(AUTOEVENTO="Manual",$M232=1),0,IF(OFFSET(CRONOPLE!$F$14,$M232,AM$13)="",10^12,OFFSET(CRONOPLE!$F$14,$M232,AM$13))))</f>
        <v>2</v>
      </c>
      <c r="AN232" s="215">
        <f ca="1">IF($D232&lt;&gt;"Serviço",0,IF(AND(AUTOEVENTO="Manual",$M232=1),0,IF(OFFSET(CRONOPLE!$F$14,$M232,AN$13)="",10^12,OFFSET(CRONOPLE!$F$14,$M232,AN$13))))</f>
        <v>2</v>
      </c>
      <c r="AO232" s="215">
        <f ca="1">IF($D232&lt;&gt;"Serviço",0,IF(AND(AUTOEVENTO="Manual",$M232=1),0,IF(OFFSET(CRONOPLE!$F$14,$M232,AO$13)="",10^12,OFFSET(CRONOPLE!$F$14,$M232,AO$13))))</f>
        <v>3</v>
      </c>
      <c r="AP232" s="215">
        <f ca="1">IF($D232&lt;&gt;"Serviço",0,IF(AND(AUTOEVENTO="Manual",$M232=1),0,IF(OFFSET(CRONOPLE!$F$14,$M232,AP$13)="",10^12,OFFSET(CRONOPLE!$F$14,$M232,AP$13))))</f>
        <v>1000000000000</v>
      </c>
      <c r="AQ232" s="215">
        <f ca="1">IF($D232&lt;&gt;"Serviço",0,IF(AND(AUTOEVENTO="Manual",$M232=1),0,IF(OFFSET(CRONOPLE!$F$14,$M232,AQ$13)="",10^12,OFFSET(CRONOPLE!$F$14,$M232,AQ$13))))</f>
        <v>1000000000000</v>
      </c>
      <c r="AR232" s="215">
        <f ca="1">IF($D232&lt;&gt;"Serviço",0,IF(AND(AUTOEVENTO="Manual",$M232=1),0,IF(OFFSET(CRONOPLE!$F$14,$M232,AR$13)="",10^12,OFFSET(CRONOPLE!$F$14,$M232,AR$13))))</f>
        <v>1000000000000</v>
      </c>
      <c r="AS232" s="215">
        <f ca="1">IF($D232&lt;&gt;"Serviço",0,IF(AND(AUTOEVENTO="Manual",$M232=1),0,IF(OFFSET(CRONOPLE!$F$14,$M232,AS$13)="",10^12,OFFSET(CRONOPLE!$F$14,$M232,AS$13))))</f>
        <v>1000000000000</v>
      </c>
      <c r="AT232" s="215">
        <f ca="1">IF($D232&lt;&gt;"Serviço",0,IF(AND(AUTOEVENTO="Manual",$M232=1),0,IF(OFFSET(CRONOPLE!$F$14,$M232,AT$13)="",10^12,OFFSET(CRONOPLE!$F$14,$M232,AT$13))))</f>
        <v>1000000000000</v>
      </c>
      <c r="AU232" s="215">
        <f ca="1">IF($D232&lt;&gt;"Serviço",0,IF(AND(AUTOEVENTO="Manual",$M232=1),0,IF(OFFSET(CRONOPLE!$F$14,$M232,AU$13)="",10^12,OFFSET(CRONOPLE!$F$14,$M232,AU$13))))</f>
        <v>1000000000000</v>
      </c>
      <c r="AV232" s="215">
        <f ca="1">IF($D232&lt;&gt;"Serviço",0,IF(AND(AUTOEVENTO="Manual",$M232=1),0,IF(OFFSET(CRONOPLE!$F$14,$M232,AV$13)="",10^12,OFFSET(CRONOPLE!$F$14,$M232,AV$13))))</f>
        <v>1000000000000</v>
      </c>
      <c r="AX232" s="216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6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6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6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6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6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6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6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6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6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37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5" t="str">
        <f ca="1">OFFSET(ORÇAMENTO!N$15,ROW(D233)-ROW(D$15),0)</f>
        <v>Serviço</v>
      </c>
      <c r="E233" s="205" t="str">
        <f ca="1">OFFSET(ORÇAMENTO!O$15,ROW(E233)-ROW(E$15),0)</f>
        <v>-</v>
      </c>
      <c r="F233" s="206" t="str">
        <f ca="1">OFFSET(ORÇAMENTO!R$15,ROW(F233)-ROW(F$15),0)</f>
        <v>(abra o arquivo 'Referência 05-2023.xls)</v>
      </c>
      <c r="G233" s="207" t="str">
        <f ca="1">IF($D233&lt;&gt;"Serviço","",OFFSET(ORÇAMENTO!S$15,ROW(G233)-ROW(G$15),0))</f>
        <v>-</v>
      </c>
      <c r="H233" s="151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1"/>
      <c r="K233" s="208"/>
      <c r="L233" s="209" t="s">
        <v>254</v>
      </c>
      <c r="M233" s="210">
        <f ca="1">IF($D233&lt;&gt;"Serviço","",IF(AUTOEVENTO="manual",$A233,IF(ISERROR(MATCH($A233,$A$15:OFFSET($A233,-1,0),0)),MAX($M$15:OFFSET(M233,-1,0))+1,INDEX($M$15:OFFSET(M233,-1,0),MATCH($A233,$A$15:OFFSET($A233,-1,0),0)))))</f>
        <v>5</v>
      </c>
      <c r="N233" s="211" t="str">
        <f ca="1">IF($D233&lt;&gt;"Serviço","",IF(AUTOEVENTO="Manual",IF($A233=0,"&lt;-- defina o número do agrupador",OFFSET(EVENTOS!$D$14,$A233,0)),OFFSET($F$15,$A233,0)))</f>
        <v>PINTURAS E TEXTURAS</v>
      </c>
      <c r="O233" s="212"/>
      <c r="Q233" s="212"/>
      <c r="R233" s="213"/>
      <c r="S233" s="213"/>
      <c r="T233" s="213"/>
      <c r="U233" s="213"/>
      <c r="V233" s="213"/>
      <c r="W233" s="213"/>
      <c r="X233" s="213"/>
      <c r="Y233" s="213"/>
      <c r="Z233" s="214"/>
      <c r="AB233" s="592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3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3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3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3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3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3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3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3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4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5">
        <f ca="1">IF($D233&lt;&gt;"Serviço",0,IF(AND(AUTOEVENTO="Manual",$M233=1),0,IF(OFFSET(CRONOPLE!$F$14,$M233,AM$13)="",10^12,OFFSET(CRONOPLE!$F$14,$M233,AM$13))))</f>
        <v>2</v>
      </c>
      <c r="AN233" s="215">
        <f ca="1">IF($D233&lt;&gt;"Serviço",0,IF(AND(AUTOEVENTO="Manual",$M233=1),0,IF(OFFSET(CRONOPLE!$F$14,$M233,AN$13)="",10^12,OFFSET(CRONOPLE!$F$14,$M233,AN$13))))</f>
        <v>2</v>
      </c>
      <c r="AO233" s="215">
        <f ca="1">IF($D233&lt;&gt;"Serviço",0,IF(AND(AUTOEVENTO="Manual",$M233=1),0,IF(OFFSET(CRONOPLE!$F$14,$M233,AO$13)="",10^12,OFFSET(CRONOPLE!$F$14,$M233,AO$13))))</f>
        <v>3</v>
      </c>
      <c r="AP233" s="215">
        <f ca="1">IF($D233&lt;&gt;"Serviço",0,IF(AND(AUTOEVENTO="Manual",$M233=1),0,IF(OFFSET(CRONOPLE!$F$14,$M233,AP$13)="",10^12,OFFSET(CRONOPLE!$F$14,$M233,AP$13))))</f>
        <v>1000000000000</v>
      </c>
      <c r="AQ233" s="215">
        <f ca="1">IF($D233&lt;&gt;"Serviço",0,IF(AND(AUTOEVENTO="Manual",$M233=1),0,IF(OFFSET(CRONOPLE!$F$14,$M233,AQ$13)="",10^12,OFFSET(CRONOPLE!$F$14,$M233,AQ$13))))</f>
        <v>1000000000000</v>
      </c>
      <c r="AR233" s="215">
        <f ca="1">IF($D233&lt;&gt;"Serviço",0,IF(AND(AUTOEVENTO="Manual",$M233=1),0,IF(OFFSET(CRONOPLE!$F$14,$M233,AR$13)="",10^12,OFFSET(CRONOPLE!$F$14,$M233,AR$13))))</f>
        <v>1000000000000</v>
      </c>
      <c r="AS233" s="215">
        <f ca="1">IF($D233&lt;&gt;"Serviço",0,IF(AND(AUTOEVENTO="Manual",$M233=1),0,IF(OFFSET(CRONOPLE!$F$14,$M233,AS$13)="",10^12,OFFSET(CRONOPLE!$F$14,$M233,AS$13))))</f>
        <v>1000000000000</v>
      </c>
      <c r="AT233" s="215">
        <f ca="1">IF($D233&lt;&gt;"Serviço",0,IF(AND(AUTOEVENTO="Manual",$M233=1),0,IF(OFFSET(CRONOPLE!$F$14,$M233,AT$13)="",10^12,OFFSET(CRONOPLE!$F$14,$M233,AT$13))))</f>
        <v>1000000000000</v>
      </c>
      <c r="AU233" s="215">
        <f ca="1">IF($D233&lt;&gt;"Serviço",0,IF(AND(AUTOEVENTO="Manual",$M233=1),0,IF(OFFSET(CRONOPLE!$F$14,$M233,AU$13)="",10^12,OFFSET(CRONOPLE!$F$14,$M233,AU$13))))</f>
        <v>1000000000000</v>
      </c>
      <c r="AV233" s="215">
        <f ca="1">IF($D233&lt;&gt;"Serviço",0,IF(AND(AUTOEVENTO="Manual",$M233=1),0,IF(OFFSET(CRONOPLE!$F$14,$M233,AV$13)="",10^12,OFFSET(CRONOPLE!$F$14,$M233,AV$13))))</f>
        <v>1000000000000</v>
      </c>
      <c r="AX233" s="216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6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6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6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6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6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6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6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6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6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37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5" t="str">
        <f ca="1">OFFSET(ORÇAMENTO!N$15,ROW(D234)-ROW(D$15),0)</f>
        <v>Serviço</v>
      </c>
      <c r="E234" s="205" t="str">
        <f ca="1">OFFSET(ORÇAMENTO!O$15,ROW(E234)-ROW(E$15),0)</f>
        <v>-</v>
      </c>
      <c r="F234" s="206" t="str">
        <f ca="1">OFFSET(ORÇAMENTO!R$15,ROW(F234)-ROW(F$15),0)</f>
        <v>(abra o arquivo 'Referência 05-2023.xls)</v>
      </c>
      <c r="G234" s="207" t="str">
        <f ca="1">IF($D234&lt;&gt;"Serviço","",OFFSET(ORÇAMENTO!S$15,ROW(G234)-ROW(G$15),0))</f>
        <v>-</v>
      </c>
      <c r="H234" s="151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1"/>
      <c r="K234" s="208"/>
      <c r="L234" s="209" t="s">
        <v>254</v>
      </c>
      <c r="M234" s="210">
        <f ca="1">IF($D234&lt;&gt;"Serviço","",IF(AUTOEVENTO="manual",$A234,IF(ISERROR(MATCH($A234,$A$15:OFFSET($A234,-1,0),0)),MAX($M$15:OFFSET(M234,-1,0))+1,INDEX($M$15:OFFSET(M234,-1,0),MATCH($A234,$A$15:OFFSET($A234,-1,0),0)))))</f>
        <v>5</v>
      </c>
      <c r="N234" s="211" t="str">
        <f ca="1">IF($D234&lt;&gt;"Serviço","",IF(AUTOEVENTO="Manual",IF($A234=0,"&lt;-- defina o número do agrupador",OFFSET(EVENTOS!$D$14,$A234,0)),OFFSET($F$15,$A234,0)))</f>
        <v>PINTURAS E TEXTURAS</v>
      </c>
      <c r="O234" s="212"/>
      <c r="Q234" s="212"/>
      <c r="R234" s="213"/>
      <c r="S234" s="213"/>
      <c r="T234" s="213"/>
      <c r="U234" s="213"/>
      <c r="V234" s="213"/>
      <c r="W234" s="213"/>
      <c r="X234" s="213"/>
      <c r="Y234" s="213"/>
      <c r="Z234" s="214"/>
      <c r="AB234" s="592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3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3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3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3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3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3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3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3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4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5">
        <f ca="1">IF($D234&lt;&gt;"Serviço",0,IF(AND(AUTOEVENTO="Manual",$M234=1),0,IF(OFFSET(CRONOPLE!$F$14,$M234,AM$13)="",10^12,OFFSET(CRONOPLE!$F$14,$M234,AM$13))))</f>
        <v>2</v>
      </c>
      <c r="AN234" s="215">
        <f ca="1">IF($D234&lt;&gt;"Serviço",0,IF(AND(AUTOEVENTO="Manual",$M234=1),0,IF(OFFSET(CRONOPLE!$F$14,$M234,AN$13)="",10^12,OFFSET(CRONOPLE!$F$14,$M234,AN$13))))</f>
        <v>2</v>
      </c>
      <c r="AO234" s="215">
        <f ca="1">IF($D234&lt;&gt;"Serviço",0,IF(AND(AUTOEVENTO="Manual",$M234=1),0,IF(OFFSET(CRONOPLE!$F$14,$M234,AO$13)="",10^12,OFFSET(CRONOPLE!$F$14,$M234,AO$13))))</f>
        <v>3</v>
      </c>
      <c r="AP234" s="215">
        <f ca="1">IF($D234&lt;&gt;"Serviço",0,IF(AND(AUTOEVENTO="Manual",$M234=1),0,IF(OFFSET(CRONOPLE!$F$14,$M234,AP$13)="",10^12,OFFSET(CRONOPLE!$F$14,$M234,AP$13))))</f>
        <v>1000000000000</v>
      </c>
      <c r="AQ234" s="215">
        <f ca="1">IF($D234&lt;&gt;"Serviço",0,IF(AND(AUTOEVENTO="Manual",$M234=1),0,IF(OFFSET(CRONOPLE!$F$14,$M234,AQ$13)="",10^12,OFFSET(CRONOPLE!$F$14,$M234,AQ$13))))</f>
        <v>1000000000000</v>
      </c>
      <c r="AR234" s="215">
        <f ca="1">IF($D234&lt;&gt;"Serviço",0,IF(AND(AUTOEVENTO="Manual",$M234=1),0,IF(OFFSET(CRONOPLE!$F$14,$M234,AR$13)="",10^12,OFFSET(CRONOPLE!$F$14,$M234,AR$13))))</f>
        <v>1000000000000</v>
      </c>
      <c r="AS234" s="215">
        <f ca="1">IF($D234&lt;&gt;"Serviço",0,IF(AND(AUTOEVENTO="Manual",$M234=1),0,IF(OFFSET(CRONOPLE!$F$14,$M234,AS$13)="",10^12,OFFSET(CRONOPLE!$F$14,$M234,AS$13))))</f>
        <v>1000000000000</v>
      </c>
      <c r="AT234" s="215">
        <f ca="1">IF($D234&lt;&gt;"Serviço",0,IF(AND(AUTOEVENTO="Manual",$M234=1),0,IF(OFFSET(CRONOPLE!$F$14,$M234,AT$13)="",10^12,OFFSET(CRONOPLE!$F$14,$M234,AT$13))))</f>
        <v>1000000000000</v>
      </c>
      <c r="AU234" s="215">
        <f ca="1">IF($D234&lt;&gt;"Serviço",0,IF(AND(AUTOEVENTO="Manual",$M234=1),0,IF(OFFSET(CRONOPLE!$F$14,$M234,AU$13)="",10^12,OFFSET(CRONOPLE!$F$14,$M234,AU$13))))</f>
        <v>1000000000000</v>
      </c>
      <c r="AV234" s="215">
        <f ca="1">IF($D234&lt;&gt;"Serviço",0,IF(AND(AUTOEVENTO="Manual",$M234=1),0,IF(OFFSET(CRONOPLE!$F$14,$M234,AV$13)="",10^12,OFFSET(CRONOPLE!$F$14,$M234,AV$13))))</f>
        <v>1000000000000</v>
      </c>
      <c r="AX234" s="216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6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6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6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6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6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6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6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6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6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37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5" t="str">
        <f ca="1">OFFSET(ORÇAMENTO!N$15,ROW(D235)-ROW(D$15),0)</f>
        <v>Serviço</v>
      </c>
      <c r="E235" s="205" t="str">
        <f ca="1">OFFSET(ORÇAMENTO!O$15,ROW(E235)-ROW(E$15),0)</f>
        <v>-</v>
      </c>
      <c r="F235" s="206" t="str">
        <f ca="1">OFFSET(ORÇAMENTO!R$15,ROW(F235)-ROW(F$15),0)</f>
        <v>(abra o arquivo 'Referência 05-2023.xls)</v>
      </c>
      <c r="G235" s="207" t="str">
        <f ca="1">IF($D235&lt;&gt;"Serviço","",OFFSET(ORÇAMENTO!S$15,ROW(G235)-ROW(G$15),0))</f>
        <v>-</v>
      </c>
      <c r="H235" s="151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1"/>
      <c r="K235" s="208"/>
      <c r="L235" s="209" t="s">
        <v>254</v>
      </c>
      <c r="M235" s="210">
        <f ca="1">IF($D235&lt;&gt;"Serviço","",IF(AUTOEVENTO="manual",$A235,IF(ISERROR(MATCH($A235,$A$15:OFFSET($A235,-1,0),0)),MAX($M$15:OFFSET(M235,-1,0))+1,INDEX($M$15:OFFSET(M235,-1,0),MATCH($A235,$A$15:OFFSET($A235,-1,0),0)))))</f>
        <v>5</v>
      </c>
      <c r="N235" s="211" t="str">
        <f ca="1">IF($D235&lt;&gt;"Serviço","",IF(AUTOEVENTO="Manual",IF($A235=0,"&lt;-- defina o número do agrupador",OFFSET(EVENTOS!$D$14,$A235,0)),OFFSET($F$15,$A235,0)))</f>
        <v>PINTURAS E TEXTURAS</v>
      </c>
      <c r="O235" s="212"/>
      <c r="Q235" s="212"/>
      <c r="R235" s="213"/>
      <c r="S235" s="213"/>
      <c r="T235" s="213"/>
      <c r="U235" s="213"/>
      <c r="V235" s="213"/>
      <c r="W235" s="213"/>
      <c r="X235" s="213"/>
      <c r="Y235" s="213"/>
      <c r="Z235" s="214"/>
      <c r="AB235" s="592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3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3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3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3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3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3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3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3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4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5">
        <f ca="1">IF($D235&lt;&gt;"Serviço",0,IF(AND(AUTOEVENTO="Manual",$M235=1),0,IF(OFFSET(CRONOPLE!$F$14,$M235,AM$13)="",10^12,OFFSET(CRONOPLE!$F$14,$M235,AM$13))))</f>
        <v>2</v>
      </c>
      <c r="AN235" s="215">
        <f ca="1">IF($D235&lt;&gt;"Serviço",0,IF(AND(AUTOEVENTO="Manual",$M235=1),0,IF(OFFSET(CRONOPLE!$F$14,$M235,AN$13)="",10^12,OFFSET(CRONOPLE!$F$14,$M235,AN$13))))</f>
        <v>2</v>
      </c>
      <c r="AO235" s="215">
        <f ca="1">IF($D235&lt;&gt;"Serviço",0,IF(AND(AUTOEVENTO="Manual",$M235=1),0,IF(OFFSET(CRONOPLE!$F$14,$M235,AO$13)="",10^12,OFFSET(CRONOPLE!$F$14,$M235,AO$13))))</f>
        <v>3</v>
      </c>
      <c r="AP235" s="215">
        <f ca="1">IF($D235&lt;&gt;"Serviço",0,IF(AND(AUTOEVENTO="Manual",$M235=1),0,IF(OFFSET(CRONOPLE!$F$14,$M235,AP$13)="",10^12,OFFSET(CRONOPLE!$F$14,$M235,AP$13))))</f>
        <v>1000000000000</v>
      </c>
      <c r="AQ235" s="215">
        <f ca="1">IF($D235&lt;&gt;"Serviço",0,IF(AND(AUTOEVENTO="Manual",$M235=1),0,IF(OFFSET(CRONOPLE!$F$14,$M235,AQ$13)="",10^12,OFFSET(CRONOPLE!$F$14,$M235,AQ$13))))</f>
        <v>1000000000000</v>
      </c>
      <c r="AR235" s="215">
        <f ca="1">IF($D235&lt;&gt;"Serviço",0,IF(AND(AUTOEVENTO="Manual",$M235=1),0,IF(OFFSET(CRONOPLE!$F$14,$M235,AR$13)="",10^12,OFFSET(CRONOPLE!$F$14,$M235,AR$13))))</f>
        <v>1000000000000</v>
      </c>
      <c r="AS235" s="215">
        <f ca="1">IF($D235&lt;&gt;"Serviço",0,IF(AND(AUTOEVENTO="Manual",$M235=1),0,IF(OFFSET(CRONOPLE!$F$14,$M235,AS$13)="",10^12,OFFSET(CRONOPLE!$F$14,$M235,AS$13))))</f>
        <v>1000000000000</v>
      </c>
      <c r="AT235" s="215">
        <f ca="1">IF($D235&lt;&gt;"Serviço",0,IF(AND(AUTOEVENTO="Manual",$M235=1),0,IF(OFFSET(CRONOPLE!$F$14,$M235,AT$13)="",10^12,OFFSET(CRONOPLE!$F$14,$M235,AT$13))))</f>
        <v>1000000000000</v>
      </c>
      <c r="AU235" s="215">
        <f ca="1">IF($D235&lt;&gt;"Serviço",0,IF(AND(AUTOEVENTO="Manual",$M235=1),0,IF(OFFSET(CRONOPLE!$F$14,$M235,AU$13)="",10^12,OFFSET(CRONOPLE!$F$14,$M235,AU$13))))</f>
        <v>1000000000000</v>
      </c>
      <c r="AV235" s="215">
        <f ca="1">IF($D235&lt;&gt;"Serviço",0,IF(AND(AUTOEVENTO="Manual",$M235=1),0,IF(OFFSET(CRONOPLE!$F$14,$M235,AV$13)="",10^12,OFFSET(CRONOPLE!$F$14,$M235,AV$13))))</f>
        <v>1000000000000</v>
      </c>
      <c r="AX235" s="216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6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6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6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6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6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6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6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6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6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37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5" t="str">
        <f ca="1">OFFSET(ORÇAMENTO!N$15,ROW(D236)-ROW(D$15),0)</f>
        <v>Serviço</v>
      </c>
      <c r="E236" s="205" t="str">
        <f ca="1">OFFSET(ORÇAMENTO!O$15,ROW(E236)-ROW(E$15),0)</f>
        <v>-</v>
      </c>
      <c r="F236" s="206" t="str">
        <f ca="1">OFFSET(ORÇAMENTO!R$15,ROW(F236)-ROW(F$15),0)</f>
        <v>(abra o arquivo 'Referência 05-2023.xls)</v>
      </c>
      <c r="G236" s="207" t="str">
        <f ca="1">IF($D236&lt;&gt;"Serviço","",OFFSET(ORÇAMENTO!S$15,ROW(G236)-ROW(G$15),0))</f>
        <v>-</v>
      </c>
      <c r="H236" s="151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1"/>
      <c r="K236" s="208"/>
      <c r="L236" s="209" t="s">
        <v>254</v>
      </c>
      <c r="M236" s="210">
        <f ca="1">IF($D236&lt;&gt;"Serviço","",IF(AUTOEVENTO="manual",$A236,IF(ISERROR(MATCH($A236,$A$15:OFFSET($A236,-1,0),0)),MAX($M$15:OFFSET(M236,-1,0))+1,INDEX($M$15:OFFSET(M236,-1,0),MATCH($A236,$A$15:OFFSET($A236,-1,0),0)))))</f>
        <v>5</v>
      </c>
      <c r="N236" s="211" t="str">
        <f ca="1">IF($D236&lt;&gt;"Serviço","",IF(AUTOEVENTO="Manual",IF($A236=0,"&lt;-- defina o número do agrupador",OFFSET(EVENTOS!$D$14,$A236,0)),OFFSET($F$15,$A236,0)))</f>
        <v>PINTURAS E TEXTURAS</v>
      </c>
      <c r="O236" s="212"/>
      <c r="Q236" s="212"/>
      <c r="R236" s="213"/>
      <c r="S236" s="213"/>
      <c r="T236" s="213"/>
      <c r="U236" s="213"/>
      <c r="V236" s="213"/>
      <c r="W236" s="213"/>
      <c r="X236" s="213"/>
      <c r="Y236" s="213"/>
      <c r="Z236" s="214"/>
      <c r="AB236" s="592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3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3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3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3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3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3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3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3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4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5">
        <f ca="1">IF($D236&lt;&gt;"Serviço",0,IF(AND(AUTOEVENTO="Manual",$M236=1),0,IF(OFFSET(CRONOPLE!$F$14,$M236,AM$13)="",10^12,OFFSET(CRONOPLE!$F$14,$M236,AM$13))))</f>
        <v>2</v>
      </c>
      <c r="AN236" s="215">
        <f ca="1">IF($D236&lt;&gt;"Serviço",0,IF(AND(AUTOEVENTO="Manual",$M236=1),0,IF(OFFSET(CRONOPLE!$F$14,$M236,AN$13)="",10^12,OFFSET(CRONOPLE!$F$14,$M236,AN$13))))</f>
        <v>2</v>
      </c>
      <c r="AO236" s="215">
        <f ca="1">IF($D236&lt;&gt;"Serviço",0,IF(AND(AUTOEVENTO="Manual",$M236=1),0,IF(OFFSET(CRONOPLE!$F$14,$M236,AO$13)="",10^12,OFFSET(CRONOPLE!$F$14,$M236,AO$13))))</f>
        <v>3</v>
      </c>
      <c r="AP236" s="215">
        <f ca="1">IF($D236&lt;&gt;"Serviço",0,IF(AND(AUTOEVENTO="Manual",$M236=1),0,IF(OFFSET(CRONOPLE!$F$14,$M236,AP$13)="",10^12,OFFSET(CRONOPLE!$F$14,$M236,AP$13))))</f>
        <v>1000000000000</v>
      </c>
      <c r="AQ236" s="215">
        <f ca="1">IF($D236&lt;&gt;"Serviço",0,IF(AND(AUTOEVENTO="Manual",$M236=1),0,IF(OFFSET(CRONOPLE!$F$14,$M236,AQ$13)="",10^12,OFFSET(CRONOPLE!$F$14,$M236,AQ$13))))</f>
        <v>1000000000000</v>
      </c>
      <c r="AR236" s="215">
        <f ca="1">IF($D236&lt;&gt;"Serviço",0,IF(AND(AUTOEVENTO="Manual",$M236=1),0,IF(OFFSET(CRONOPLE!$F$14,$M236,AR$13)="",10^12,OFFSET(CRONOPLE!$F$14,$M236,AR$13))))</f>
        <v>1000000000000</v>
      </c>
      <c r="AS236" s="215">
        <f ca="1">IF($D236&lt;&gt;"Serviço",0,IF(AND(AUTOEVENTO="Manual",$M236=1),0,IF(OFFSET(CRONOPLE!$F$14,$M236,AS$13)="",10^12,OFFSET(CRONOPLE!$F$14,$M236,AS$13))))</f>
        <v>1000000000000</v>
      </c>
      <c r="AT236" s="215">
        <f ca="1">IF($D236&lt;&gt;"Serviço",0,IF(AND(AUTOEVENTO="Manual",$M236=1),0,IF(OFFSET(CRONOPLE!$F$14,$M236,AT$13)="",10^12,OFFSET(CRONOPLE!$F$14,$M236,AT$13))))</f>
        <v>1000000000000</v>
      </c>
      <c r="AU236" s="215">
        <f ca="1">IF($D236&lt;&gt;"Serviço",0,IF(AND(AUTOEVENTO="Manual",$M236=1),0,IF(OFFSET(CRONOPLE!$F$14,$M236,AU$13)="",10^12,OFFSET(CRONOPLE!$F$14,$M236,AU$13))))</f>
        <v>1000000000000</v>
      </c>
      <c r="AV236" s="215">
        <f ca="1">IF($D236&lt;&gt;"Serviço",0,IF(AND(AUTOEVENTO="Manual",$M236=1),0,IF(OFFSET(CRONOPLE!$F$14,$M236,AV$13)="",10^12,OFFSET(CRONOPLE!$F$14,$M236,AV$13))))</f>
        <v>1000000000000</v>
      </c>
      <c r="AX236" s="216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6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6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6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6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6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6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6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6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6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37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5" t="str">
        <f ca="1">OFFSET(ORÇAMENTO!N$15,ROW(D237)-ROW(D$15),0)</f>
        <v>Serviço</v>
      </c>
      <c r="E237" s="205" t="str">
        <f ca="1">OFFSET(ORÇAMENTO!O$15,ROW(E237)-ROW(E$15),0)</f>
        <v>-</v>
      </c>
      <c r="F237" s="206" t="str">
        <f ca="1">OFFSET(ORÇAMENTO!R$15,ROW(F237)-ROW(F$15),0)</f>
        <v>(abra o arquivo 'Referência 05-2023.xls)</v>
      </c>
      <c r="G237" s="207" t="str">
        <f ca="1">IF($D237&lt;&gt;"Serviço","",OFFSET(ORÇAMENTO!S$15,ROW(G237)-ROW(G$15),0))</f>
        <v>-</v>
      </c>
      <c r="H237" s="151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1"/>
      <c r="K237" s="208"/>
      <c r="L237" s="209" t="s">
        <v>254</v>
      </c>
      <c r="M237" s="210">
        <f ca="1">IF($D237&lt;&gt;"Serviço","",IF(AUTOEVENTO="manual",$A237,IF(ISERROR(MATCH($A237,$A$15:OFFSET($A237,-1,0),0)),MAX($M$15:OFFSET(M237,-1,0))+1,INDEX($M$15:OFFSET(M237,-1,0),MATCH($A237,$A$15:OFFSET($A237,-1,0),0)))))</f>
        <v>5</v>
      </c>
      <c r="N237" s="211" t="str">
        <f ca="1">IF($D237&lt;&gt;"Serviço","",IF(AUTOEVENTO="Manual",IF($A237=0,"&lt;-- defina o número do agrupador",OFFSET(EVENTOS!$D$14,$A237,0)),OFFSET($F$15,$A237,0)))</f>
        <v>PINTURAS E TEXTURAS</v>
      </c>
      <c r="O237" s="212"/>
      <c r="Q237" s="212"/>
      <c r="R237" s="213"/>
      <c r="S237" s="213"/>
      <c r="T237" s="213"/>
      <c r="U237" s="213"/>
      <c r="V237" s="213"/>
      <c r="W237" s="213"/>
      <c r="X237" s="213"/>
      <c r="Y237" s="213"/>
      <c r="Z237" s="214"/>
      <c r="AB237" s="592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3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3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3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3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3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3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3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3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4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5">
        <f ca="1">IF($D237&lt;&gt;"Serviço",0,IF(AND(AUTOEVENTO="Manual",$M237=1),0,IF(OFFSET(CRONOPLE!$F$14,$M237,AM$13)="",10^12,OFFSET(CRONOPLE!$F$14,$M237,AM$13))))</f>
        <v>2</v>
      </c>
      <c r="AN237" s="215">
        <f ca="1">IF($D237&lt;&gt;"Serviço",0,IF(AND(AUTOEVENTO="Manual",$M237=1),0,IF(OFFSET(CRONOPLE!$F$14,$M237,AN$13)="",10^12,OFFSET(CRONOPLE!$F$14,$M237,AN$13))))</f>
        <v>2</v>
      </c>
      <c r="AO237" s="215">
        <f ca="1">IF($D237&lt;&gt;"Serviço",0,IF(AND(AUTOEVENTO="Manual",$M237=1),0,IF(OFFSET(CRONOPLE!$F$14,$M237,AO$13)="",10^12,OFFSET(CRONOPLE!$F$14,$M237,AO$13))))</f>
        <v>3</v>
      </c>
      <c r="AP237" s="215">
        <f ca="1">IF($D237&lt;&gt;"Serviço",0,IF(AND(AUTOEVENTO="Manual",$M237=1),0,IF(OFFSET(CRONOPLE!$F$14,$M237,AP$13)="",10^12,OFFSET(CRONOPLE!$F$14,$M237,AP$13))))</f>
        <v>1000000000000</v>
      </c>
      <c r="AQ237" s="215">
        <f ca="1">IF($D237&lt;&gt;"Serviço",0,IF(AND(AUTOEVENTO="Manual",$M237=1),0,IF(OFFSET(CRONOPLE!$F$14,$M237,AQ$13)="",10^12,OFFSET(CRONOPLE!$F$14,$M237,AQ$13))))</f>
        <v>1000000000000</v>
      </c>
      <c r="AR237" s="215">
        <f ca="1">IF($D237&lt;&gt;"Serviço",0,IF(AND(AUTOEVENTO="Manual",$M237=1),0,IF(OFFSET(CRONOPLE!$F$14,$M237,AR$13)="",10^12,OFFSET(CRONOPLE!$F$14,$M237,AR$13))))</f>
        <v>1000000000000</v>
      </c>
      <c r="AS237" s="215">
        <f ca="1">IF($D237&lt;&gt;"Serviço",0,IF(AND(AUTOEVENTO="Manual",$M237=1),0,IF(OFFSET(CRONOPLE!$F$14,$M237,AS$13)="",10^12,OFFSET(CRONOPLE!$F$14,$M237,AS$13))))</f>
        <v>1000000000000</v>
      </c>
      <c r="AT237" s="215">
        <f ca="1">IF($D237&lt;&gt;"Serviço",0,IF(AND(AUTOEVENTO="Manual",$M237=1),0,IF(OFFSET(CRONOPLE!$F$14,$M237,AT$13)="",10^12,OFFSET(CRONOPLE!$F$14,$M237,AT$13))))</f>
        <v>1000000000000</v>
      </c>
      <c r="AU237" s="215">
        <f ca="1">IF($D237&lt;&gt;"Serviço",0,IF(AND(AUTOEVENTO="Manual",$M237=1),0,IF(OFFSET(CRONOPLE!$F$14,$M237,AU$13)="",10^12,OFFSET(CRONOPLE!$F$14,$M237,AU$13))))</f>
        <v>1000000000000</v>
      </c>
      <c r="AV237" s="215">
        <f ca="1">IF($D237&lt;&gt;"Serviço",0,IF(AND(AUTOEVENTO="Manual",$M237=1),0,IF(OFFSET(CRONOPLE!$F$14,$M237,AV$13)="",10^12,OFFSET(CRONOPLE!$F$14,$M237,AV$13))))</f>
        <v>1000000000000</v>
      </c>
      <c r="AX237" s="216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6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6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6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6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6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6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6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6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6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37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5" t="str">
        <f ca="1">OFFSET(ORÇAMENTO!N$15,ROW(D238)-ROW(D$15),0)</f>
        <v>Serviço</v>
      </c>
      <c r="E238" s="205" t="str">
        <f ca="1">OFFSET(ORÇAMENTO!O$15,ROW(E238)-ROW(E$15),0)</f>
        <v>-</v>
      </c>
      <c r="F238" s="206" t="str">
        <f ca="1">OFFSET(ORÇAMENTO!R$15,ROW(F238)-ROW(F$15),0)</f>
        <v>(abra o arquivo 'Referência 05-2023.xls)</v>
      </c>
      <c r="G238" s="207" t="str">
        <f ca="1">IF($D238&lt;&gt;"Serviço","",OFFSET(ORÇAMENTO!S$15,ROW(G238)-ROW(G$15),0))</f>
        <v>-</v>
      </c>
      <c r="H238" s="151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1"/>
      <c r="K238" s="208"/>
      <c r="L238" s="209" t="s">
        <v>254</v>
      </c>
      <c r="M238" s="210">
        <f ca="1">IF($D238&lt;&gt;"Serviço","",IF(AUTOEVENTO="manual",$A238,IF(ISERROR(MATCH($A238,$A$15:OFFSET($A238,-1,0),0)),MAX($M$15:OFFSET(M238,-1,0))+1,INDEX($M$15:OFFSET(M238,-1,0),MATCH($A238,$A$15:OFFSET($A238,-1,0),0)))))</f>
        <v>5</v>
      </c>
      <c r="N238" s="211" t="str">
        <f ca="1">IF($D238&lt;&gt;"Serviço","",IF(AUTOEVENTO="Manual",IF($A238=0,"&lt;-- defina o número do agrupador",OFFSET(EVENTOS!$D$14,$A238,0)),OFFSET($F$15,$A238,0)))</f>
        <v>PINTURAS E TEXTURAS</v>
      </c>
      <c r="O238" s="212"/>
      <c r="Q238" s="212"/>
      <c r="R238" s="213"/>
      <c r="S238" s="213"/>
      <c r="T238" s="213"/>
      <c r="U238" s="213"/>
      <c r="V238" s="213"/>
      <c r="W238" s="213"/>
      <c r="X238" s="213"/>
      <c r="Y238" s="213"/>
      <c r="Z238" s="214"/>
      <c r="AB238" s="592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3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3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3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3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3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3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3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3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4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5">
        <f ca="1">IF($D238&lt;&gt;"Serviço",0,IF(AND(AUTOEVENTO="Manual",$M238=1),0,IF(OFFSET(CRONOPLE!$F$14,$M238,AM$13)="",10^12,OFFSET(CRONOPLE!$F$14,$M238,AM$13))))</f>
        <v>2</v>
      </c>
      <c r="AN238" s="215">
        <f ca="1">IF($D238&lt;&gt;"Serviço",0,IF(AND(AUTOEVENTO="Manual",$M238=1),0,IF(OFFSET(CRONOPLE!$F$14,$M238,AN$13)="",10^12,OFFSET(CRONOPLE!$F$14,$M238,AN$13))))</f>
        <v>2</v>
      </c>
      <c r="AO238" s="215">
        <f ca="1">IF($D238&lt;&gt;"Serviço",0,IF(AND(AUTOEVENTO="Manual",$M238=1),0,IF(OFFSET(CRONOPLE!$F$14,$M238,AO$13)="",10^12,OFFSET(CRONOPLE!$F$14,$M238,AO$13))))</f>
        <v>3</v>
      </c>
      <c r="AP238" s="215">
        <f ca="1">IF($D238&lt;&gt;"Serviço",0,IF(AND(AUTOEVENTO="Manual",$M238=1),0,IF(OFFSET(CRONOPLE!$F$14,$M238,AP$13)="",10^12,OFFSET(CRONOPLE!$F$14,$M238,AP$13))))</f>
        <v>1000000000000</v>
      </c>
      <c r="AQ238" s="215">
        <f ca="1">IF($D238&lt;&gt;"Serviço",0,IF(AND(AUTOEVENTO="Manual",$M238=1),0,IF(OFFSET(CRONOPLE!$F$14,$M238,AQ$13)="",10^12,OFFSET(CRONOPLE!$F$14,$M238,AQ$13))))</f>
        <v>1000000000000</v>
      </c>
      <c r="AR238" s="215">
        <f ca="1">IF($D238&lt;&gt;"Serviço",0,IF(AND(AUTOEVENTO="Manual",$M238=1),0,IF(OFFSET(CRONOPLE!$F$14,$M238,AR$13)="",10^12,OFFSET(CRONOPLE!$F$14,$M238,AR$13))))</f>
        <v>1000000000000</v>
      </c>
      <c r="AS238" s="215">
        <f ca="1">IF($D238&lt;&gt;"Serviço",0,IF(AND(AUTOEVENTO="Manual",$M238=1),0,IF(OFFSET(CRONOPLE!$F$14,$M238,AS$13)="",10^12,OFFSET(CRONOPLE!$F$14,$M238,AS$13))))</f>
        <v>1000000000000</v>
      </c>
      <c r="AT238" s="215">
        <f ca="1">IF($D238&lt;&gt;"Serviço",0,IF(AND(AUTOEVENTO="Manual",$M238=1),0,IF(OFFSET(CRONOPLE!$F$14,$M238,AT$13)="",10^12,OFFSET(CRONOPLE!$F$14,$M238,AT$13))))</f>
        <v>1000000000000</v>
      </c>
      <c r="AU238" s="215">
        <f ca="1">IF($D238&lt;&gt;"Serviço",0,IF(AND(AUTOEVENTO="Manual",$M238=1),0,IF(OFFSET(CRONOPLE!$F$14,$M238,AU$13)="",10^12,OFFSET(CRONOPLE!$F$14,$M238,AU$13))))</f>
        <v>1000000000000</v>
      </c>
      <c r="AV238" s="215">
        <f ca="1">IF($D238&lt;&gt;"Serviço",0,IF(AND(AUTOEVENTO="Manual",$M238=1),0,IF(OFFSET(CRONOPLE!$F$14,$M238,AV$13)="",10^12,OFFSET(CRONOPLE!$F$14,$M238,AV$13))))</f>
        <v>1000000000000</v>
      </c>
      <c r="AX238" s="216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6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6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6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6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6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6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6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6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6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37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5" t="str">
        <f ca="1">OFFSET(ORÇAMENTO!N$15,ROW(D239)-ROW(D$15),0)</f>
        <v>Serviço</v>
      </c>
      <c r="E239" s="205" t="str">
        <f ca="1">OFFSET(ORÇAMENTO!O$15,ROW(E239)-ROW(E$15),0)</f>
        <v>-</v>
      </c>
      <c r="F239" s="206" t="str">
        <f ca="1">OFFSET(ORÇAMENTO!R$15,ROW(F239)-ROW(F$15),0)</f>
        <v>(abra o arquivo 'Referência 05-2023.xls)</v>
      </c>
      <c r="G239" s="207" t="str">
        <f ca="1">IF($D239&lt;&gt;"Serviço","",OFFSET(ORÇAMENTO!S$15,ROW(G239)-ROW(G$15),0))</f>
        <v>-</v>
      </c>
      <c r="H239" s="151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1"/>
      <c r="K239" s="208"/>
      <c r="L239" s="209" t="s">
        <v>254</v>
      </c>
      <c r="M239" s="210">
        <f ca="1">IF($D239&lt;&gt;"Serviço","",IF(AUTOEVENTO="manual",$A239,IF(ISERROR(MATCH($A239,$A$15:OFFSET($A239,-1,0),0)),MAX($M$15:OFFSET(M239,-1,0))+1,INDEX($M$15:OFFSET(M239,-1,0),MATCH($A239,$A$15:OFFSET($A239,-1,0),0)))))</f>
        <v>5</v>
      </c>
      <c r="N239" s="211" t="str">
        <f ca="1">IF($D239&lt;&gt;"Serviço","",IF(AUTOEVENTO="Manual",IF($A239=0,"&lt;-- defina o número do agrupador",OFFSET(EVENTOS!$D$14,$A239,0)),OFFSET($F$15,$A239,0)))</f>
        <v>PINTURAS E TEXTURAS</v>
      </c>
      <c r="O239" s="212"/>
      <c r="Q239" s="212"/>
      <c r="R239" s="213"/>
      <c r="S239" s="213"/>
      <c r="T239" s="213"/>
      <c r="U239" s="213"/>
      <c r="V239" s="213"/>
      <c r="W239" s="213"/>
      <c r="X239" s="213"/>
      <c r="Y239" s="213"/>
      <c r="Z239" s="214"/>
      <c r="AB239" s="592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3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3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3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3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3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3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3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3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4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5">
        <f ca="1">IF($D239&lt;&gt;"Serviço",0,IF(AND(AUTOEVENTO="Manual",$M239=1),0,IF(OFFSET(CRONOPLE!$F$14,$M239,AM$13)="",10^12,OFFSET(CRONOPLE!$F$14,$M239,AM$13))))</f>
        <v>2</v>
      </c>
      <c r="AN239" s="215">
        <f ca="1">IF($D239&lt;&gt;"Serviço",0,IF(AND(AUTOEVENTO="Manual",$M239=1),0,IF(OFFSET(CRONOPLE!$F$14,$M239,AN$13)="",10^12,OFFSET(CRONOPLE!$F$14,$M239,AN$13))))</f>
        <v>2</v>
      </c>
      <c r="AO239" s="215">
        <f ca="1">IF($D239&lt;&gt;"Serviço",0,IF(AND(AUTOEVENTO="Manual",$M239=1),0,IF(OFFSET(CRONOPLE!$F$14,$M239,AO$13)="",10^12,OFFSET(CRONOPLE!$F$14,$M239,AO$13))))</f>
        <v>3</v>
      </c>
      <c r="AP239" s="215">
        <f ca="1">IF($D239&lt;&gt;"Serviço",0,IF(AND(AUTOEVENTO="Manual",$M239=1),0,IF(OFFSET(CRONOPLE!$F$14,$M239,AP$13)="",10^12,OFFSET(CRONOPLE!$F$14,$M239,AP$13))))</f>
        <v>1000000000000</v>
      </c>
      <c r="AQ239" s="215">
        <f ca="1">IF($D239&lt;&gt;"Serviço",0,IF(AND(AUTOEVENTO="Manual",$M239=1),0,IF(OFFSET(CRONOPLE!$F$14,$M239,AQ$13)="",10^12,OFFSET(CRONOPLE!$F$14,$M239,AQ$13))))</f>
        <v>1000000000000</v>
      </c>
      <c r="AR239" s="215">
        <f ca="1">IF($D239&lt;&gt;"Serviço",0,IF(AND(AUTOEVENTO="Manual",$M239=1),0,IF(OFFSET(CRONOPLE!$F$14,$M239,AR$13)="",10^12,OFFSET(CRONOPLE!$F$14,$M239,AR$13))))</f>
        <v>1000000000000</v>
      </c>
      <c r="AS239" s="215">
        <f ca="1">IF($D239&lt;&gt;"Serviço",0,IF(AND(AUTOEVENTO="Manual",$M239=1),0,IF(OFFSET(CRONOPLE!$F$14,$M239,AS$13)="",10^12,OFFSET(CRONOPLE!$F$14,$M239,AS$13))))</f>
        <v>1000000000000</v>
      </c>
      <c r="AT239" s="215">
        <f ca="1">IF($D239&lt;&gt;"Serviço",0,IF(AND(AUTOEVENTO="Manual",$M239=1),0,IF(OFFSET(CRONOPLE!$F$14,$M239,AT$13)="",10^12,OFFSET(CRONOPLE!$F$14,$M239,AT$13))))</f>
        <v>1000000000000</v>
      </c>
      <c r="AU239" s="215">
        <f ca="1">IF($D239&lt;&gt;"Serviço",0,IF(AND(AUTOEVENTO="Manual",$M239=1),0,IF(OFFSET(CRONOPLE!$F$14,$M239,AU$13)="",10^12,OFFSET(CRONOPLE!$F$14,$M239,AU$13))))</f>
        <v>1000000000000</v>
      </c>
      <c r="AV239" s="215">
        <f ca="1">IF($D239&lt;&gt;"Serviço",0,IF(AND(AUTOEVENTO="Manual",$M239=1),0,IF(OFFSET(CRONOPLE!$F$14,$M239,AV$13)="",10^12,OFFSET(CRONOPLE!$F$14,$M239,AV$13))))</f>
        <v>1000000000000</v>
      </c>
      <c r="AX239" s="216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6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6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6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6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6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6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6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6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6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37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5" t="str">
        <f ca="1">OFFSET(ORÇAMENTO!N$15,ROW(D240)-ROW(D$15),0)</f>
        <v>Serviço</v>
      </c>
      <c r="E240" s="205" t="str">
        <f ca="1">OFFSET(ORÇAMENTO!O$15,ROW(E240)-ROW(E$15),0)</f>
        <v>-</v>
      </c>
      <c r="F240" s="206" t="str">
        <f ca="1">OFFSET(ORÇAMENTO!R$15,ROW(F240)-ROW(F$15),0)</f>
        <v>(abra o arquivo 'Referência 05-2023.xls)</v>
      </c>
      <c r="G240" s="207" t="str">
        <f ca="1">IF($D240&lt;&gt;"Serviço","",OFFSET(ORÇAMENTO!S$15,ROW(G240)-ROW(G$15),0))</f>
        <v>-</v>
      </c>
      <c r="H240" s="151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1"/>
      <c r="K240" s="208"/>
      <c r="L240" s="209" t="s">
        <v>254</v>
      </c>
      <c r="M240" s="210">
        <f ca="1">IF($D240&lt;&gt;"Serviço","",IF(AUTOEVENTO="manual",$A240,IF(ISERROR(MATCH($A240,$A$15:OFFSET($A240,-1,0),0)),MAX($M$15:OFFSET(M240,-1,0))+1,INDEX($M$15:OFFSET(M240,-1,0),MATCH($A240,$A$15:OFFSET($A240,-1,0),0)))))</f>
        <v>5</v>
      </c>
      <c r="N240" s="211" t="str">
        <f ca="1">IF($D240&lt;&gt;"Serviço","",IF(AUTOEVENTO="Manual",IF($A240=0,"&lt;-- defina o número do agrupador",OFFSET(EVENTOS!$D$14,$A240,0)),OFFSET($F$15,$A240,0)))</f>
        <v>PINTURAS E TEXTURAS</v>
      </c>
      <c r="O240" s="212"/>
      <c r="Q240" s="212"/>
      <c r="R240" s="213"/>
      <c r="S240" s="213"/>
      <c r="T240" s="213"/>
      <c r="U240" s="213"/>
      <c r="V240" s="213"/>
      <c r="W240" s="213"/>
      <c r="X240" s="213"/>
      <c r="Y240" s="213"/>
      <c r="Z240" s="214"/>
      <c r="AB240" s="592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3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3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3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3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3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3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3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3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4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5">
        <f ca="1">IF($D240&lt;&gt;"Serviço",0,IF(AND(AUTOEVENTO="Manual",$M240=1),0,IF(OFFSET(CRONOPLE!$F$14,$M240,AM$13)="",10^12,OFFSET(CRONOPLE!$F$14,$M240,AM$13))))</f>
        <v>2</v>
      </c>
      <c r="AN240" s="215">
        <f ca="1">IF($D240&lt;&gt;"Serviço",0,IF(AND(AUTOEVENTO="Manual",$M240=1),0,IF(OFFSET(CRONOPLE!$F$14,$M240,AN$13)="",10^12,OFFSET(CRONOPLE!$F$14,$M240,AN$13))))</f>
        <v>2</v>
      </c>
      <c r="AO240" s="215">
        <f ca="1">IF($D240&lt;&gt;"Serviço",0,IF(AND(AUTOEVENTO="Manual",$M240=1),0,IF(OFFSET(CRONOPLE!$F$14,$M240,AO$13)="",10^12,OFFSET(CRONOPLE!$F$14,$M240,AO$13))))</f>
        <v>3</v>
      </c>
      <c r="AP240" s="215">
        <f ca="1">IF($D240&lt;&gt;"Serviço",0,IF(AND(AUTOEVENTO="Manual",$M240=1),0,IF(OFFSET(CRONOPLE!$F$14,$M240,AP$13)="",10^12,OFFSET(CRONOPLE!$F$14,$M240,AP$13))))</f>
        <v>1000000000000</v>
      </c>
      <c r="AQ240" s="215">
        <f ca="1">IF($D240&lt;&gt;"Serviço",0,IF(AND(AUTOEVENTO="Manual",$M240=1),0,IF(OFFSET(CRONOPLE!$F$14,$M240,AQ$13)="",10^12,OFFSET(CRONOPLE!$F$14,$M240,AQ$13))))</f>
        <v>1000000000000</v>
      </c>
      <c r="AR240" s="215">
        <f ca="1">IF($D240&lt;&gt;"Serviço",0,IF(AND(AUTOEVENTO="Manual",$M240=1),0,IF(OFFSET(CRONOPLE!$F$14,$M240,AR$13)="",10^12,OFFSET(CRONOPLE!$F$14,$M240,AR$13))))</f>
        <v>1000000000000</v>
      </c>
      <c r="AS240" s="215">
        <f ca="1">IF($D240&lt;&gt;"Serviço",0,IF(AND(AUTOEVENTO="Manual",$M240=1),0,IF(OFFSET(CRONOPLE!$F$14,$M240,AS$13)="",10^12,OFFSET(CRONOPLE!$F$14,$M240,AS$13))))</f>
        <v>1000000000000</v>
      </c>
      <c r="AT240" s="215">
        <f ca="1">IF($D240&lt;&gt;"Serviço",0,IF(AND(AUTOEVENTO="Manual",$M240=1),0,IF(OFFSET(CRONOPLE!$F$14,$M240,AT$13)="",10^12,OFFSET(CRONOPLE!$F$14,$M240,AT$13))))</f>
        <v>1000000000000</v>
      </c>
      <c r="AU240" s="215">
        <f ca="1">IF($D240&lt;&gt;"Serviço",0,IF(AND(AUTOEVENTO="Manual",$M240=1),0,IF(OFFSET(CRONOPLE!$F$14,$M240,AU$13)="",10^12,OFFSET(CRONOPLE!$F$14,$M240,AU$13))))</f>
        <v>1000000000000</v>
      </c>
      <c r="AV240" s="215">
        <f ca="1">IF($D240&lt;&gt;"Serviço",0,IF(AND(AUTOEVENTO="Manual",$M240=1),0,IF(OFFSET(CRONOPLE!$F$14,$M240,AV$13)="",10^12,OFFSET(CRONOPLE!$F$14,$M240,AV$13))))</f>
        <v>1000000000000</v>
      </c>
      <c r="AX240" s="216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6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6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6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6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6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6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6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6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6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37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5" t="str">
        <f ca="1">OFFSET(ORÇAMENTO!N$15,ROW(D241)-ROW(D$15),0)</f>
        <v>Serviço</v>
      </c>
      <c r="E241" s="205" t="str">
        <f ca="1">OFFSET(ORÇAMENTO!O$15,ROW(E241)-ROW(E$15),0)</f>
        <v>-</v>
      </c>
      <c r="F241" s="206" t="str">
        <f ca="1">OFFSET(ORÇAMENTO!R$15,ROW(F241)-ROW(F$15),0)</f>
        <v>(abra o arquivo 'Referência 05-2023.xls)</v>
      </c>
      <c r="G241" s="207" t="str">
        <f ca="1">IF($D241&lt;&gt;"Serviço","",OFFSET(ORÇAMENTO!S$15,ROW(G241)-ROW(G$15),0))</f>
        <v>-</v>
      </c>
      <c r="H241" s="151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1"/>
      <c r="K241" s="208"/>
      <c r="L241" s="209" t="s">
        <v>254</v>
      </c>
      <c r="M241" s="210">
        <f ca="1">IF($D241&lt;&gt;"Serviço","",IF(AUTOEVENTO="manual",$A241,IF(ISERROR(MATCH($A241,$A$15:OFFSET($A241,-1,0),0)),MAX($M$15:OFFSET(M241,-1,0))+1,INDEX($M$15:OFFSET(M241,-1,0),MATCH($A241,$A$15:OFFSET($A241,-1,0),0)))))</f>
        <v>5</v>
      </c>
      <c r="N241" s="211" t="str">
        <f ca="1">IF($D241&lt;&gt;"Serviço","",IF(AUTOEVENTO="Manual",IF($A241=0,"&lt;-- defina o número do agrupador",OFFSET(EVENTOS!$D$14,$A241,0)),OFFSET($F$15,$A241,0)))</f>
        <v>PINTURAS E TEXTURAS</v>
      </c>
      <c r="O241" s="212"/>
      <c r="Q241" s="212"/>
      <c r="R241" s="213"/>
      <c r="S241" s="213"/>
      <c r="T241" s="213"/>
      <c r="U241" s="213"/>
      <c r="V241" s="213"/>
      <c r="W241" s="213"/>
      <c r="X241" s="213"/>
      <c r="Y241" s="213"/>
      <c r="Z241" s="214"/>
      <c r="AB241" s="592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3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3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3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3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3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3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3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3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4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5">
        <f ca="1">IF($D241&lt;&gt;"Serviço",0,IF(AND(AUTOEVENTO="Manual",$M241=1),0,IF(OFFSET(CRONOPLE!$F$14,$M241,AM$13)="",10^12,OFFSET(CRONOPLE!$F$14,$M241,AM$13))))</f>
        <v>2</v>
      </c>
      <c r="AN241" s="215">
        <f ca="1">IF($D241&lt;&gt;"Serviço",0,IF(AND(AUTOEVENTO="Manual",$M241=1),0,IF(OFFSET(CRONOPLE!$F$14,$M241,AN$13)="",10^12,OFFSET(CRONOPLE!$F$14,$M241,AN$13))))</f>
        <v>2</v>
      </c>
      <c r="AO241" s="215">
        <f ca="1">IF($D241&lt;&gt;"Serviço",0,IF(AND(AUTOEVENTO="Manual",$M241=1),0,IF(OFFSET(CRONOPLE!$F$14,$M241,AO$13)="",10^12,OFFSET(CRONOPLE!$F$14,$M241,AO$13))))</f>
        <v>3</v>
      </c>
      <c r="AP241" s="215">
        <f ca="1">IF($D241&lt;&gt;"Serviço",0,IF(AND(AUTOEVENTO="Manual",$M241=1),0,IF(OFFSET(CRONOPLE!$F$14,$M241,AP$13)="",10^12,OFFSET(CRONOPLE!$F$14,$M241,AP$13))))</f>
        <v>1000000000000</v>
      </c>
      <c r="AQ241" s="215">
        <f ca="1">IF($D241&lt;&gt;"Serviço",0,IF(AND(AUTOEVENTO="Manual",$M241=1),0,IF(OFFSET(CRONOPLE!$F$14,$M241,AQ$13)="",10^12,OFFSET(CRONOPLE!$F$14,$M241,AQ$13))))</f>
        <v>1000000000000</v>
      </c>
      <c r="AR241" s="215">
        <f ca="1">IF($D241&lt;&gt;"Serviço",0,IF(AND(AUTOEVENTO="Manual",$M241=1),0,IF(OFFSET(CRONOPLE!$F$14,$M241,AR$13)="",10^12,OFFSET(CRONOPLE!$F$14,$M241,AR$13))))</f>
        <v>1000000000000</v>
      </c>
      <c r="AS241" s="215">
        <f ca="1">IF($D241&lt;&gt;"Serviço",0,IF(AND(AUTOEVENTO="Manual",$M241=1),0,IF(OFFSET(CRONOPLE!$F$14,$M241,AS$13)="",10^12,OFFSET(CRONOPLE!$F$14,$M241,AS$13))))</f>
        <v>1000000000000</v>
      </c>
      <c r="AT241" s="215">
        <f ca="1">IF($D241&lt;&gt;"Serviço",0,IF(AND(AUTOEVENTO="Manual",$M241=1),0,IF(OFFSET(CRONOPLE!$F$14,$M241,AT$13)="",10^12,OFFSET(CRONOPLE!$F$14,$M241,AT$13))))</f>
        <v>1000000000000</v>
      </c>
      <c r="AU241" s="215">
        <f ca="1">IF($D241&lt;&gt;"Serviço",0,IF(AND(AUTOEVENTO="Manual",$M241=1),0,IF(OFFSET(CRONOPLE!$F$14,$M241,AU$13)="",10^12,OFFSET(CRONOPLE!$F$14,$M241,AU$13))))</f>
        <v>1000000000000</v>
      </c>
      <c r="AV241" s="215">
        <f ca="1">IF($D241&lt;&gt;"Serviço",0,IF(AND(AUTOEVENTO="Manual",$M241=1),0,IF(OFFSET(CRONOPLE!$F$14,$M241,AV$13)="",10^12,OFFSET(CRONOPLE!$F$14,$M241,AV$13))))</f>
        <v>1000000000000</v>
      </c>
      <c r="AX241" s="216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6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6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6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6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6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6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6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6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6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37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5" t="str">
        <f ca="1">OFFSET(ORÇAMENTO!N$15,ROW(D242)-ROW(D$15),0)</f>
        <v>Serviço</v>
      </c>
      <c r="E242" s="205" t="str">
        <f ca="1">OFFSET(ORÇAMENTO!O$15,ROW(E242)-ROW(E$15),0)</f>
        <v>-</v>
      </c>
      <c r="F242" s="206" t="str">
        <f ca="1">OFFSET(ORÇAMENTO!R$15,ROW(F242)-ROW(F$15),0)</f>
        <v>(abra o arquivo 'Referência 05-2023.xls)</v>
      </c>
      <c r="G242" s="207" t="str">
        <f ca="1">IF($D242&lt;&gt;"Serviço","",OFFSET(ORÇAMENTO!S$15,ROW(G242)-ROW(G$15),0))</f>
        <v>-</v>
      </c>
      <c r="H242" s="151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1"/>
      <c r="K242" s="208"/>
      <c r="L242" s="209" t="s">
        <v>254</v>
      </c>
      <c r="M242" s="210">
        <f ca="1">IF($D242&lt;&gt;"Serviço","",IF(AUTOEVENTO="manual",$A242,IF(ISERROR(MATCH($A242,$A$15:OFFSET($A242,-1,0),0)),MAX($M$15:OFFSET(M242,-1,0))+1,INDEX($M$15:OFFSET(M242,-1,0),MATCH($A242,$A$15:OFFSET($A242,-1,0),0)))))</f>
        <v>5</v>
      </c>
      <c r="N242" s="211" t="str">
        <f ca="1">IF($D242&lt;&gt;"Serviço","",IF(AUTOEVENTO="Manual",IF($A242=0,"&lt;-- defina o número do agrupador",OFFSET(EVENTOS!$D$14,$A242,0)),OFFSET($F$15,$A242,0)))</f>
        <v>PINTURAS E TEXTURAS</v>
      </c>
      <c r="O242" s="212"/>
      <c r="Q242" s="212"/>
      <c r="R242" s="213"/>
      <c r="S242" s="213"/>
      <c r="T242" s="213"/>
      <c r="U242" s="213"/>
      <c r="V242" s="213"/>
      <c r="W242" s="213"/>
      <c r="X242" s="213"/>
      <c r="Y242" s="213"/>
      <c r="Z242" s="214"/>
      <c r="AB242" s="592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3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3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3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3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3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3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3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3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4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5">
        <f ca="1">IF($D242&lt;&gt;"Serviço",0,IF(AND(AUTOEVENTO="Manual",$M242=1),0,IF(OFFSET(CRONOPLE!$F$14,$M242,AM$13)="",10^12,OFFSET(CRONOPLE!$F$14,$M242,AM$13))))</f>
        <v>2</v>
      </c>
      <c r="AN242" s="215">
        <f ca="1">IF($D242&lt;&gt;"Serviço",0,IF(AND(AUTOEVENTO="Manual",$M242=1),0,IF(OFFSET(CRONOPLE!$F$14,$M242,AN$13)="",10^12,OFFSET(CRONOPLE!$F$14,$M242,AN$13))))</f>
        <v>2</v>
      </c>
      <c r="AO242" s="215">
        <f ca="1">IF($D242&lt;&gt;"Serviço",0,IF(AND(AUTOEVENTO="Manual",$M242=1),0,IF(OFFSET(CRONOPLE!$F$14,$M242,AO$13)="",10^12,OFFSET(CRONOPLE!$F$14,$M242,AO$13))))</f>
        <v>3</v>
      </c>
      <c r="AP242" s="215">
        <f ca="1">IF($D242&lt;&gt;"Serviço",0,IF(AND(AUTOEVENTO="Manual",$M242=1),0,IF(OFFSET(CRONOPLE!$F$14,$M242,AP$13)="",10^12,OFFSET(CRONOPLE!$F$14,$M242,AP$13))))</f>
        <v>1000000000000</v>
      </c>
      <c r="AQ242" s="215">
        <f ca="1">IF($D242&lt;&gt;"Serviço",0,IF(AND(AUTOEVENTO="Manual",$M242=1),0,IF(OFFSET(CRONOPLE!$F$14,$M242,AQ$13)="",10^12,OFFSET(CRONOPLE!$F$14,$M242,AQ$13))))</f>
        <v>1000000000000</v>
      </c>
      <c r="AR242" s="215">
        <f ca="1">IF($D242&lt;&gt;"Serviço",0,IF(AND(AUTOEVENTO="Manual",$M242=1),0,IF(OFFSET(CRONOPLE!$F$14,$M242,AR$13)="",10^12,OFFSET(CRONOPLE!$F$14,$M242,AR$13))))</f>
        <v>1000000000000</v>
      </c>
      <c r="AS242" s="215">
        <f ca="1">IF($D242&lt;&gt;"Serviço",0,IF(AND(AUTOEVENTO="Manual",$M242=1),0,IF(OFFSET(CRONOPLE!$F$14,$M242,AS$13)="",10^12,OFFSET(CRONOPLE!$F$14,$M242,AS$13))))</f>
        <v>1000000000000</v>
      </c>
      <c r="AT242" s="215">
        <f ca="1">IF($D242&lt;&gt;"Serviço",0,IF(AND(AUTOEVENTO="Manual",$M242=1),0,IF(OFFSET(CRONOPLE!$F$14,$M242,AT$13)="",10^12,OFFSET(CRONOPLE!$F$14,$M242,AT$13))))</f>
        <v>1000000000000</v>
      </c>
      <c r="AU242" s="215">
        <f ca="1">IF($D242&lt;&gt;"Serviço",0,IF(AND(AUTOEVENTO="Manual",$M242=1),0,IF(OFFSET(CRONOPLE!$F$14,$M242,AU$13)="",10^12,OFFSET(CRONOPLE!$F$14,$M242,AU$13))))</f>
        <v>1000000000000</v>
      </c>
      <c r="AV242" s="215">
        <f ca="1">IF($D242&lt;&gt;"Serviço",0,IF(AND(AUTOEVENTO="Manual",$M242=1),0,IF(OFFSET(CRONOPLE!$F$14,$M242,AV$13)="",10^12,OFFSET(CRONOPLE!$F$14,$M242,AV$13))))</f>
        <v>1000000000000</v>
      </c>
      <c r="AX242" s="216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6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6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6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6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6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6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6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6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6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37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5" t="str">
        <f ca="1">OFFSET(ORÇAMENTO!N$15,ROW(D243)-ROW(D$15),0)</f>
        <v>Serviço</v>
      </c>
      <c r="E243" s="205" t="str">
        <f ca="1">OFFSET(ORÇAMENTO!O$15,ROW(E243)-ROW(E$15),0)</f>
        <v>-</v>
      </c>
      <c r="F243" s="206" t="str">
        <f ca="1">OFFSET(ORÇAMENTO!R$15,ROW(F243)-ROW(F$15),0)</f>
        <v>(abra o arquivo 'Referência 05-2023.xls)</v>
      </c>
      <c r="G243" s="207" t="str">
        <f ca="1">IF($D243&lt;&gt;"Serviço","",OFFSET(ORÇAMENTO!S$15,ROW(G243)-ROW(G$15),0))</f>
        <v>-</v>
      </c>
      <c r="H243" s="151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1"/>
      <c r="K243" s="208"/>
      <c r="L243" s="209" t="s">
        <v>254</v>
      </c>
      <c r="M243" s="210">
        <f ca="1">IF($D243&lt;&gt;"Serviço","",IF(AUTOEVENTO="manual",$A243,IF(ISERROR(MATCH($A243,$A$15:OFFSET($A243,-1,0),0)),MAX($M$15:OFFSET(M243,-1,0))+1,INDEX($M$15:OFFSET(M243,-1,0),MATCH($A243,$A$15:OFFSET($A243,-1,0),0)))))</f>
        <v>5</v>
      </c>
      <c r="N243" s="211" t="str">
        <f ca="1">IF($D243&lt;&gt;"Serviço","",IF(AUTOEVENTO="Manual",IF($A243=0,"&lt;-- defina o número do agrupador",OFFSET(EVENTOS!$D$14,$A243,0)),OFFSET($F$15,$A243,0)))</f>
        <v>PINTURAS E TEXTURAS</v>
      </c>
      <c r="O243" s="212"/>
      <c r="Q243" s="212"/>
      <c r="R243" s="213"/>
      <c r="S243" s="213"/>
      <c r="T243" s="213"/>
      <c r="U243" s="213"/>
      <c r="V243" s="213"/>
      <c r="W243" s="213"/>
      <c r="X243" s="213"/>
      <c r="Y243" s="213"/>
      <c r="Z243" s="214"/>
      <c r="AB243" s="592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3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3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3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3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3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3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3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3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4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5">
        <f ca="1">IF($D243&lt;&gt;"Serviço",0,IF(AND(AUTOEVENTO="Manual",$M243=1),0,IF(OFFSET(CRONOPLE!$F$14,$M243,AM$13)="",10^12,OFFSET(CRONOPLE!$F$14,$M243,AM$13))))</f>
        <v>2</v>
      </c>
      <c r="AN243" s="215">
        <f ca="1">IF($D243&lt;&gt;"Serviço",0,IF(AND(AUTOEVENTO="Manual",$M243=1),0,IF(OFFSET(CRONOPLE!$F$14,$M243,AN$13)="",10^12,OFFSET(CRONOPLE!$F$14,$M243,AN$13))))</f>
        <v>2</v>
      </c>
      <c r="AO243" s="215">
        <f ca="1">IF($D243&lt;&gt;"Serviço",0,IF(AND(AUTOEVENTO="Manual",$M243=1),0,IF(OFFSET(CRONOPLE!$F$14,$M243,AO$13)="",10^12,OFFSET(CRONOPLE!$F$14,$M243,AO$13))))</f>
        <v>3</v>
      </c>
      <c r="AP243" s="215">
        <f ca="1">IF($D243&lt;&gt;"Serviço",0,IF(AND(AUTOEVENTO="Manual",$M243=1),0,IF(OFFSET(CRONOPLE!$F$14,$M243,AP$13)="",10^12,OFFSET(CRONOPLE!$F$14,$M243,AP$13))))</f>
        <v>1000000000000</v>
      </c>
      <c r="AQ243" s="215">
        <f ca="1">IF($D243&lt;&gt;"Serviço",0,IF(AND(AUTOEVENTO="Manual",$M243=1),0,IF(OFFSET(CRONOPLE!$F$14,$M243,AQ$13)="",10^12,OFFSET(CRONOPLE!$F$14,$M243,AQ$13))))</f>
        <v>1000000000000</v>
      </c>
      <c r="AR243" s="215">
        <f ca="1">IF($D243&lt;&gt;"Serviço",0,IF(AND(AUTOEVENTO="Manual",$M243=1),0,IF(OFFSET(CRONOPLE!$F$14,$M243,AR$13)="",10^12,OFFSET(CRONOPLE!$F$14,$M243,AR$13))))</f>
        <v>1000000000000</v>
      </c>
      <c r="AS243" s="215">
        <f ca="1">IF($D243&lt;&gt;"Serviço",0,IF(AND(AUTOEVENTO="Manual",$M243=1),0,IF(OFFSET(CRONOPLE!$F$14,$M243,AS$13)="",10^12,OFFSET(CRONOPLE!$F$14,$M243,AS$13))))</f>
        <v>1000000000000</v>
      </c>
      <c r="AT243" s="215">
        <f ca="1">IF($D243&lt;&gt;"Serviço",0,IF(AND(AUTOEVENTO="Manual",$M243=1),0,IF(OFFSET(CRONOPLE!$F$14,$M243,AT$13)="",10^12,OFFSET(CRONOPLE!$F$14,$M243,AT$13))))</f>
        <v>1000000000000</v>
      </c>
      <c r="AU243" s="215">
        <f ca="1">IF($D243&lt;&gt;"Serviço",0,IF(AND(AUTOEVENTO="Manual",$M243=1),0,IF(OFFSET(CRONOPLE!$F$14,$M243,AU$13)="",10^12,OFFSET(CRONOPLE!$F$14,$M243,AU$13))))</f>
        <v>1000000000000</v>
      </c>
      <c r="AV243" s="215">
        <f ca="1">IF($D243&lt;&gt;"Serviço",0,IF(AND(AUTOEVENTO="Manual",$M243=1),0,IF(OFFSET(CRONOPLE!$F$14,$M243,AV$13)="",10^12,OFFSET(CRONOPLE!$F$14,$M243,AV$13))))</f>
        <v>1000000000000</v>
      </c>
      <c r="AX243" s="216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6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6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6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6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6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6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6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6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6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37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5" t="str">
        <f ca="1">OFFSET(ORÇAMENTO!N$15,ROW(D244)-ROW(D$15),0)</f>
        <v>Serviço</v>
      </c>
      <c r="E244" s="205" t="str">
        <f ca="1">OFFSET(ORÇAMENTO!O$15,ROW(E244)-ROW(E$15),0)</f>
        <v>-</v>
      </c>
      <c r="F244" s="206" t="str">
        <f ca="1">OFFSET(ORÇAMENTO!R$15,ROW(F244)-ROW(F$15),0)</f>
        <v>(abra o arquivo 'Referência 05-2023.xls)</v>
      </c>
      <c r="G244" s="207" t="str">
        <f ca="1">IF($D244&lt;&gt;"Serviço","",OFFSET(ORÇAMENTO!S$15,ROW(G244)-ROW(G$15),0))</f>
        <v>-</v>
      </c>
      <c r="H244" s="151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1"/>
      <c r="K244" s="208"/>
      <c r="L244" s="209" t="s">
        <v>254</v>
      </c>
      <c r="M244" s="210">
        <f ca="1">IF($D244&lt;&gt;"Serviço","",IF(AUTOEVENTO="manual",$A244,IF(ISERROR(MATCH($A244,$A$15:OFFSET($A244,-1,0),0)),MAX($M$15:OFFSET(M244,-1,0))+1,INDEX($M$15:OFFSET(M244,-1,0),MATCH($A244,$A$15:OFFSET($A244,-1,0),0)))))</f>
        <v>5</v>
      </c>
      <c r="N244" s="211" t="str">
        <f ca="1">IF($D244&lt;&gt;"Serviço","",IF(AUTOEVENTO="Manual",IF($A244=0,"&lt;-- defina o número do agrupador",OFFSET(EVENTOS!$D$14,$A244,0)),OFFSET($F$15,$A244,0)))</f>
        <v>PINTURAS E TEXTURAS</v>
      </c>
      <c r="O244" s="212"/>
      <c r="Q244" s="212"/>
      <c r="R244" s="213"/>
      <c r="S244" s="213"/>
      <c r="T244" s="213"/>
      <c r="U244" s="213"/>
      <c r="V244" s="213"/>
      <c r="W244" s="213"/>
      <c r="X244" s="213"/>
      <c r="Y244" s="213"/>
      <c r="Z244" s="214"/>
      <c r="AB244" s="592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3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3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3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3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3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3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3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3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4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5">
        <f ca="1">IF($D244&lt;&gt;"Serviço",0,IF(AND(AUTOEVENTO="Manual",$M244=1),0,IF(OFFSET(CRONOPLE!$F$14,$M244,AM$13)="",10^12,OFFSET(CRONOPLE!$F$14,$M244,AM$13))))</f>
        <v>2</v>
      </c>
      <c r="AN244" s="215">
        <f ca="1">IF($D244&lt;&gt;"Serviço",0,IF(AND(AUTOEVENTO="Manual",$M244=1),0,IF(OFFSET(CRONOPLE!$F$14,$M244,AN$13)="",10^12,OFFSET(CRONOPLE!$F$14,$M244,AN$13))))</f>
        <v>2</v>
      </c>
      <c r="AO244" s="215">
        <f ca="1">IF($D244&lt;&gt;"Serviço",0,IF(AND(AUTOEVENTO="Manual",$M244=1),0,IF(OFFSET(CRONOPLE!$F$14,$M244,AO$13)="",10^12,OFFSET(CRONOPLE!$F$14,$M244,AO$13))))</f>
        <v>3</v>
      </c>
      <c r="AP244" s="215">
        <f ca="1">IF($D244&lt;&gt;"Serviço",0,IF(AND(AUTOEVENTO="Manual",$M244=1),0,IF(OFFSET(CRONOPLE!$F$14,$M244,AP$13)="",10^12,OFFSET(CRONOPLE!$F$14,$M244,AP$13))))</f>
        <v>1000000000000</v>
      </c>
      <c r="AQ244" s="215">
        <f ca="1">IF($D244&lt;&gt;"Serviço",0,IF(AND(AUTOEVENTO="Manual",$M244=1),0,IF(OFFSET(CRONOPLE!$F$14,$M244,AQ$13)="",10^12,OFFSET(CRONOPLE!$F$14,$M244,AQ$13))))</f>
        <v>1000000000000</v>
      </c>
      <c r="AR244" s="215">
        <f ca="1">IF($D244&lt;&gt;"Serviço",0,IF(AND(AUTOEVENTO="Manual",$M244=1),0,IF(OFFSET(CRONOPLE!$F$14,$M244,AR$13)="",10^12,OFFSET(CRONOPLE!$F$14,$M244,AR$13))))</f>
        <v>1000000000000</v>
      </c>
      <c r="AS244" s="215">
        <f ca="1">IF($D244&lt;&gt;"Serviço",0,IF(AND(AUTOEVENTO="Manual",$M244=1),0,IF(OFFSET(CRONOPLE!$F$14,$M244,AS$13)="",10^12,OFFSET(CRONOPLE!$F$14,$M244,AS$13))))</f>
        <v>1000000000000</v>
      </c>
      <c r="AT244" s="215">
        <f ca="1">IF($D244&lt;&gt;"Serviço",0,IF(AND(AUTOEVENTO="Manual",$M244=1),0,IF(OFFSET(CRONOPLE!$F$14,$M244,AT$13)="",10^12,OFFSET(CRONOPLE!$F$14,$M244,AT$13))))</f>
        <v>1000000000000</v>
      </c>
      <c r="AU244" s="215">
        <f ca="1">IF($D244&lt;&gt;"Serviço",0,IF(AND(AUTOEVENTO="Manual",$M244=1),0,IF(OFFSET(CRONOPLE!$F$14,$M244,AU$13)="",10^12,OFFSET(CRONOPLE!$F$14,$M244,AU$13))))</f>
        <v>1000000000000</v>
      </c>
      <c r="AV244" s="215">
        <f ca="1">IF($D244&lt;&gt;"Serviço",0,IF(AND(AUTOEVENTO="Manual",$M244=1),0,IF(OFFSET(CRONOPLE!$F$14,$M244,AV$13)="",10^12,OFFSET(CRONOPLE!$F$14,$M244,AV$13))))</f>
        <v>1000000000000</v>
      </c>
      <c r="AX244" s="216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6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6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6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6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6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6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6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6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6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37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5" t="str">
        <f ca="1">OFFSET(ORÇAMENTO!N$15,ROW(D245)-ROW(D$15),0)</f>
        <v>Serviço</v>
      </c>
      <c r="E245" s="205" t="str">
        <f ca="1">OFFSET(ORÇAMENTO!O$15,ROW(E245)-ROW(E$15),0)</f>
        <v>-</v>
      </c>
      <c r="F245" s="206" t="str">
        <f ca="1">OFFSET(ORÇAMENTO!R$15,ROW(F245)-ROW(F$15),0)</f>
        <v>(abra o arquivo 'Referência 05-2023.xls)</v>
      </c>
      <c r="G245" s="207" t="str">
        <f ca="1">IF($D245&lt;&gt;"Serviço","",OFFSET(ORÇAMENTO!S$15,ROW(G245)-ROW(G$15),0))</f>
        <v>-</v>
      </c>
      <c r="H245" s="151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1"/>
      <c r="K245" s="208"/>
      <c r="L245" s="209" t="s">
        <v>254</v>
      </c>
      <c r="M245" s="210">
        <f ca="1">IF($D245&lt;&gt;"Serviço","",IF(AUTOEVENTO="manual",$A245,IF(ISERROR(MATCH($A245,$A$15:OFFSET($A245,-1,0),0)),MAX($M$15:OFFSET(M245,-1,0))+1,INDEX($M$15:OFFSET(M245,-1,0),MATCH($A245,$A$15:OFFSET($A245,-1,0),0)))))</f>
        <v>5</v>
      </c>
      <c r="N245" s="211" t="str">
        <f ca="1">IF($D245&lt;&gt;"Serviço","",IF(AUTOEVENTO="Manual",IF($A245=0,"&lt;-- defina o número do agrupador",OFFSET(EVENTOS!$D$14,$A245,0)),OFFSET($F$15,$A245,0)))</f>
        <v>PINTURAS E TEXTURAS</v>
      </c>
      <c r="O245" s="212"/>
      <c r="Q245" s="212"/>
      <c r="R245" s="213"/>
      <c r="S245" s="213"/>
      <c r="T245" s="213"/>
      <c r="U245" s="213"/>
      <c r="V245" s="213"/>
      <c r="W245" s="213"/>
      <c r="X245" s="213"/>
      <c r="Y245" s="213"/>
      <c r="Z245" s="214"/>
      <c r="AB245" s="592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3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3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3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3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3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3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3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3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4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5">
        <f ca="1">IF($D245&lt;&gt;"Serviço",0,IF(AND(AUTOEVENTO="Manual",$M245=1),0,IF(OFFSET(CRONOPLE!$F$14,$M245,AM$13)="",10^12,OFFSET(CRONOPLE!$F$14,$M245,AM$13))))</f>
        <v>2</v>
      </c>
      <c r="AN245" s="215">
        <f ca="1">IF($D245&lt;&gt;"Serviço",0,IF(AND(AUTOEVENTO="Manual",$M245=1),0,IF(OFFSET(CRONOPLE!$F$14,$M245,AN$13)="",10^12,OFFSET(CRONOPLE!$F$14,$M245,AN$13))))</f>
        <v>2</v>
      </c>
      <c r="AO245" s="215">
        <f ca="1">IF($D245&lt;&gt;"Serviço",0,IF(AND(AUTOEVENTO="Manual",$M245=1),0,IF(OFFSET(CRONOPLE!$F$14,$M245,AO$13)="",10^12,OFFSET(CRONOPLE!$F$14,$M245,AO$13))))</f>
        <v>3</v>
      </c>
      <c r="AP245" s="215">
        <f ca="1">IF($D245&lt;&gt;"Serviço",0,IF(AND(AUTOEVENTO="Manual",$M245=1),0,IF(OFFSET(CRONOPLE!$F$14,$M245,AP$13)="",10^12,OFFSET(CRONOPLE!$F$14,$M245,AP$13))))</f>
        <v>1000000000000</v>
      </c>
      <c r="AQ245" s="215">
        <f ca="1">IF($D245&lt;&gt;"Serviço",0,IF(AND(AUTOEVENTO="Manual",$M245=1),0,IF(OFFSET(CRONOPLE!$F$14,$M245,AQ$13)="",10^12,OFFSET(CRONOPLE!$F$14,$M245,AQ$13))))</f>
        <v>1000000000000</v>
      </c>
      <c r="AR245" s="215">
        <f ca="1">IF($D245&lt;&gt;"Serviço",0,IF(AND(AUTOEVENTO="Manual",$M245=1),0,IF(OFFSET(CRONOPLE!$F$14,$M245,AR$13)="",10^12,OFFSET(CRONOPLE!$F$14,$M245,AR$13))))</f>
        <v>1000000000000</v>
      </c>
      <c r="AS245" s="215">
        <f ca="1">IF($D245&lt;&gt;"Serviço",0,IF(AND(AUTOEVENTO="Manual",$M245=1),0,IF(OFFSET(CRONOPLE!$F$14,$M245,AS$13)="",10^12,OFFSET(CRONOPLE!$F$14,$M245,AS$13))))</f>
        <v>1000000000000</v>
      </c>
      <c r="AT245" s="215">
        <f ca="1">IF($D245&lt;&gt;"Serviço",0,IF(AND(AUTOEVENTO="Manual",$M245=1),0,IF(OFFSET(CRONOPLE!$F$14,$M245,AT$13)="",10^12,OFFSET(CRONOPLE!$F$14,$M245,AT$13))))</f>
        <v>1000000000000</v>
      </c>
      <c r="AU245" s="215">
        <f ca="1">IF($D245&lt;&gt;"Serviço",0,IF(AND(AUTOEVENTO="Manual",$M245=1),0,IF(OFFSET(CRONOPLE!$F$14,$M245,AU$13)="",10^12,OFFSET(CRONOPLE!$F$14,$M245,AU$13))))</f>
        <v>1000000000000</v>
      </c>
      <c r="AV245" s="215">
        <f ca="1">IF($D245&lt;&gt;"Serviço",0,IF(AND(AUTOEVENTO="Manual",$M245=1),0,IF(OFFSET(CRONOPLE!$F$14,$M245,AV$13)="",10^12,OFFSET(CRONOPLE!$F$14,$M245,AV$13))))</f>
        <v>1000000000000</v>
      </c>
      <c r="AX245" s="216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6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6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6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6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6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6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6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6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6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37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5" t="str">
        <f ca="1">OFFSET(ORÇAMENTO!N$15,ROW(D246)-ROW(D$15),0)</f>
        <v>Serviço</v>
      </c>
      <c r="E246" s="205" t="str">
        <f ca="1">OFFSET(ORÇAMENTO!O$15,ROW(E246)-ROW(E$15),0)</f>
        <v>-</v>
      </c>
      <c r="F246" s="206" t="str">
        <f ca="1">OFFSET(ORÇAMENTO!R$15,ROW(F246)-ROW(F$15),0)</f>
        <v>(abra o arquivo 'Referência 05-2023.xls)</v>
      </c>
      <c r="G246" s="207" t="str">
        <f ca="1">IF($D246&lt;&gt;"Serviço","",OFFSET(ORÇAMENTO!S$15,ROW(G246)-ROW(G$15),0))</f>
        <v>-</v>
      </c>
      <c r="H246" s="151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1"/>
      <c r="K246" s="208"/>
      <c r="L246" s="209" t="s">
        <v>254</v>
      </c>
      <c r="M246" s="210">
        <f ca="1">IF($D246&lt;&gt;"Serviço","",IF(AUTOEVENTO="manual",$A246,IF(ISERROR(MATCH($A246,$A$15:OFFSET($A246,-1,0),0)),MAX($M$15:OFFSET(M246,-1,0))+1,INDEX($M$15:OFFSET(M246,-1,0),MATCH($A246,$A$15:OFFSET($A246,-1,0),0)))))</f>
        <v>5</v>
      </c>
      <c r="N246" s="211" t="str">
        <f ca="1">IF($D246&lt;&gt;"Serviço","",IF(AUTOEVENTO="Manual",IF($A246=0,"&lt;-- defina o número do agrupador",OFFSET(EVENTOS!$D$14,$A246,0)),OFFSET($F$15,$A246,0)))</f>
        <v>PINTURAS E TEXTURAS</v>
      </c>
      <c r="O246" s="212"/>
      <c r="Q246" s="212"/>
      <c r="R246" s="213"/>
      <c r="S246" s="213"/>
      <c r="T246" s="213"/>
      <c r="U246" s="213"/>
      <c r="V246" s="213"/>
      <c r="W246" s="213"/>
      <c r="X246" s="213"/>
      <c r="Y246" s="213"/>
      <c r="Z246" s="214"/>
      <c r="AB246" s="592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3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3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3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3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3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3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3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3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4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5">
        <f ca="1">IF($D246&lt;&gt;"Serviço",0,IF(AND(AUTOEVENTO="Manual",$M246=1),0,IF(OFFSET(CRONOPLE!$F$14,$M246,AM$13)="",10^12,OFFSET(CRONOPLE!$F$14,$M246,AM$13))))</f>
        <v>2</v>
      </c>
      <c r="AN246" s="215">
        <f ca="1">IF($D246&lt;&gt;"Serviço",0,IF(AND(AUTOEVENTO="Manual",$M246=1),0,IF(OFFSET(CRONOPLE!$F$14,$M246,AN$13)="",10^12,OFFSET(CRONOPLE!$F$14,$M246,AN$13))))</f>
        <v>2</v>
      </c>
      <c r="AO246" s="215">
        <f ca="1">IF($D246&lt;&gt;"Serviço",0,IF(AND(AUTOEVENTO="Manual",$M246=1),0,IF(OFFSET(CRONOPLE!$F$14,$M246,AO$13)="",10^12,OFFSET(CRONOPLE!$F$14,$M246,AO$13))))</f>
        <v>3</v>
      </c>
      <c r="AP246" s="215">
        <f ca="1">IF($D246&lt;&gt;"Serviço",0,IF(AND(AUTOEVENTO="Manual",$M246=1),0,IF(OFFSET(CRONOPLE!$F$14,$M246,AP$13)="",10^12,OFFSET(CRONOPLE!$F$14,$M246,AP$13))))</f>
        <v>1000000000000</v>
      </c>
      <c r="AQ246" s="215">
        <f ca="1">IF($D246&lt;&gt;"Serviço",0,IF(AND(AUTOEVENTO="Manual",$M246=1),0,IF(OFFSET(CRONOPLE!$F$14,$M246,AQ$13)="",10^12,OFFSET(CRONOPLE!$F$14,$M246,AQ$13))))</f>
        <v>1000000000000</v>
      </c>
      <c r="AR246" s="215">
        <f ca="1">IF($D246&lt;&gt;"Serviço",0,IF(AND(AUTOEVENTO="Manual",$M246=1),0,IF(OFFSET(CRONOPLE!$F$14,$M246,AR$13)="",10^12,OFFSET(CRONOPLE!$F$14,$M246,AR$13))))</f>
        <v>1000000000000</v>
      </c>
      <c r="AS246" s="215">
        <f ca="1">IF($D246&lt;&gt;"Serviço",0,IF(AND(AUTOEVENTO="Manual",$M246=1),0,IF(OFFSET(CRONOPLE!$F$14,$M246,AS$13)="",10^12,OFFSET(CRONOPLE!$F$14,$M246,AS$13))))</f>
        <v>1000000000000</v>
      </c>
      <c r="AT246" s="215">
        <f ca="1">IF($D246&lt;&gt;"Serviço",0,IF(AND(AUTOEVENTO="Manual",$M246=1),0,IF(OFFSET(CRONOPLE!$F$14,$M246,AT$13)="",10^12,OFFSET(CRONOPLE!$F$14,$M246,AT$13))))</f>
        <v>1000000000000</v>
      </c>
      <c r="AU246" s="215">
        <f ca="1">IF($D246&lt;&gt;"Serviço",0,IF(AND(AUTOEVENTO="Manual",$M246=1),0,IF(OFFSET(CRONOPLE!$F$14,$M246,AU$13)="",10^12,OFFSET(CRONOPLE!$F$14,$M246,AU$13))))</f>
        <v>1000000000000</v>
      </c>
      <c r="AV246" s="215">
        <f ca="1">IF($D246&lt;&gt;"Serviço",0,IF(AND(AUTOEVENTO="Manual",$M246=1),0,IF(OFFSET(CRONOPLE!$F$14,$M246,AV$13)="",10^12,OFFSET(CRONOPLE!$F$14,$M246,AV$13))))</f>
        <v>1000000000000</v>
      </c>
      <c r="AX246" s="216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6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6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6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6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6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6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6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6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6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37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5" t="str">
        <f ca="1">OFFSET(ORÇAMENTO!N$15,ROW(D247)-ROW(D$15),0)</f>
        <v>Serviço</v>
      </c>
      <c r="E247" s="205" t="str">
        <f ca="1">OFFSET(ORÇAMENTO!O$15,ROW(E247)-ROW(E$15),0)</f>
        <v>-</v>
      </c>
      <c r="F247" s="206" t="str">
        <f ca="1">OFFSET(ORÇAMENTO!R$15,ROW(F247)-ROW(F$15),0)</f>
        <v>(abra o arquivo 'Referência 05-2023.xls)</v>
      </c>
      <c r="G247" s="207" t="str">
        <f ca="1">IF($D247&lt;&gt;"Serviço","",OFFSET(ORÇAMENTO!S$15,ROW(G247)-ROW(G$15),0))</f>
        <v>-</v>
      </c>
      <c r="H247" s="151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1"/>
      <c r="K247" s="208"/>
      <c r="L247" s="209" t="s">
        <v>254</v>
      </c>
      <c r="M247" s="210">
        <f ca="1">IF($D247&lt;&gt;"Serviço","",IF(AUTOEVENTO="manual",$A247,IF(ISERROR(MATCH($A247,$A$15:OFFSET($A247,-1,0),0)),MAX($M$15:OFFSET(M247,-1,0))+1,INDEX($M$15:OFFSET(M247,-1,0),MATCH($A247,$A$15:OFFSET($A247,-1,0),0)))))</f>
        <v>5</v>
      </c>
      <c r="N247" s="211" t="str">
        <f ca="1">IF($D247&lt;&gt;"Serviço","",IF(AUTOEVENTO="Manual",IF($A247=0,"&lt;-- defina o número do agrupador",OFFSET(EVENTOS!$D$14,$A247,0)),OFFSET($F$15,$A247,0)))</f>
        <v>PINTURAS E TEXTURAS</v>
      </c>
      <c r="O247" s="212"/>
      <c r="Q247" s="212"/>
      <c r="R247" s="213"/>
      <c r="S247" s="213"/>
      <c r="T247" s="213"/>
      <c r="U247" s="213"/>
      <c r="V247" s="213"/>
      <c r="W247" s="213"/>
      <c r="X247" s="213"/>
      <c r="Y247" s="213"/>
      <c r="Z247" s="214"/>
      <c r="AB247" s="592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3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3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3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3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3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3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3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3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4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5">
        <f ca="1">IF($D247&lt;&gt;"Serviço",0,IF(AND(AUTOEVENTO="Manual",$M247=1),0,IF(OFFSET(CRONOPLE!$F$14,$M247,AM$13)="",10^12,OFFSET(CRONOPLE!$F$14,$M247,AM$13))))</f>
        <v>2</v>
      </c>
      <c r="AN247" s="215">
        <f ca="1">IF($D247&lt;&gt;"Serviço",0,IF(AND(AUTOEVENTO="Manual",$M247=1),0,IF(OFFSET(CRONOPLE!$F$14,$M247,AN$13)="",10^12,OFFSET(CRONOPLE!$F$14,$M247,AN$13))))</f>
        <v>2</v>
      </c>
      <c r="AO247" s="215">
        <f ca="1">IF($D247&lt;&gt;"Serviço",0,IF(AND(AUTOEVENTO="Manual",$M247=1),0,IF(OFFSET(CRONOPLE!$F$14,$M247,AO$13)="",10^12,OFFSET(CRONOPLE!$F$14,$M247,AO$13))))</f>
        <v>3</v>
      </c>
      <c r="AP247" s="215">
        <f ca="1">IF($D247&lt;&gt;"Serviço",0,IF(AND(AUTOEVENTO="Manual",$M247=1),0,IF(OFFSET(CRONOPLE!$F$14,$M247,AP$13)="",10^12,OFFSET(CRONOPLE!$F$14,$M247,AP$13))))</f>
        <v>1000000000000</v>
      </c>
      <c r="AQ247" s="215">
        <f ca="1">IF($D247&lt;&gt;"Serviço",0,IF(AND(AUTOEVENTO="Manual",$M247=1),0,IF(OFFSET(CRONOPLE!$F$14,$M247,AQ$13)="",10^12,OFFSET(CRONOPLE!$F$14,$M247,AQ$13))))</f>
        <v>1000000000000</v>
      </c>
      <c r="AR247" s="215">
        <f ca="1">IF($D247&lt;&gt;"Serviço",0,IF(AND(AUTOEVENTO="Manual",$M247=1),0,IF(OFFSET(CRONOPLE!$F$14,$M247,AR$13)="",10^12,OFFSET(CRONOPLE!$F$14,$M247,AR$13))))</f>
        <v>1000000000000</v>
      </c>
      <c r="AS247" s="215">
        <f ca="1">IF($D247&lt;&gt;"Serviço",0,IF(AND(AUTOEVENTO="Manual",$M247=1),0,IF(OFFSET(CRONOPLE!$F$14,$M247,AS$13)="",10^12,OFFSET(CRONOPLE!$F$14,$M247,AS$13))))</f>
        <v>1000000000000</v>
      </c>
      <c r="AT247" s="215">
        <f ca="1">IF($D247&lt;&gt;"Serviço",0,IF(AND(AUTOEVENTO="Manual",$M247=1),0,IF(OFFSET(CRONOPLE!$F$14,$M247,AT$13)="",10^12,OFFSET(CRONOPLE!$F$14,$M247,AT$13))))</f>
        <v>1000000000000</v>
      </c>
      <c r="AU247" s="215">
        <f ca="1">IF($D247&lt;&gt;"Serviço",0,IF(AND(AUTOEVENTO="Manual",$M247=1),0,IF(OFFSET(CRONOPLE!$F$14,$M247,AU$13)="",10^12,OFFSET(CRONOPLE!$F$14,$M247,AU$13))))</f>
        <v>1000000000000</v>
      </c>
      <c r="AV247" s="215">
        <f ca="1">IF($D247&lt;&gt;"Serviço",0,IF(AND(AUTOEVENTO="Manual",$M247=1),0,IF(OFFSET(CRONOPLE!$F$14,$M247,AV$13)="",10^12,OFFSET(CRONOPLE!$F$14,$M247,AV$13))))</f>
        <v>1000000000000</v>
      </c>
      <c r="AX247" s="216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6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6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6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6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6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6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6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6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6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37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5" t="str">
        <f ca="1">OFFSET(ORÇAMENTO!N$15,ROW(D248)-ROW(D$15),0)</f>
        <v>Serviço</v>
      </c>
      <c r="E248" s="205" t="str">
        <f ca="1">OFFSET(ORÇAMENTO!O$15,ROW(E248)-ROW(E$15),0)</f>
        <v>-</v>
      </c>
      <c r="F248" s="206" t="str">
        <f ca="1">OFFSET(ORÇAMENTO!R$15,ROW(F248)-ROW(F$15),0)</f>
        <v>(abra o arquivo 'Referência 05-2023.xls)</v>
      </c>
      <c r="G248" s="207" t="str">
        <f ca="1">IF($D248&lt;&gt;"Serviço","",OFFSET(ORÇAMENTO!S$15,ROW(G248)-ROW(G$15),0))</f>
        <v>-</v>
      </c>
      <c r="H248" s="151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1"/>
      <c r="K248" s="208"/>
      <c r="L248" s="209" t="s">
        <v>254</v>
      </c>
      <c r="M248" s="210">
        <f ca="1">IF($D248&lt;&gt;"Serviço","",IF(AUTOEVENTO="manual",$A248,IF(ISERROR(MATCH($A248,$A$15:OFFSET($A248,-1,0),0)),MAX($M$15:OFFSET(M248,-1,0))+1,INDEX($M$15:OFFSET(M248,-1,0),MATCH($A248,$A$15:OFFSET($A248,-1,0),0)))))</f>
        <v>5</v>
      </c>
      <c r="N248" s="211" t="str">
        <f ca="1">IF($D248&lt;&gt;"Serviço","",IF(AUTOEVENTO="Manual",IF($A248=0,"&lt;-- defina o número do agrupador",OFFSET(EVENTOS!$D$14,$A248,0)),OFFSET($F$15,$A248,0)))</f>
        <v>PINTURAS E TEXTURAS</v>
      </c>
      <c r="O248" s="212"/>
      <c r="Q248" s="212"/>
      <c r="R248" s="213"/>
      <c r="S248" s="213"/>
      <c r="T248" s="213"/>
      <c r="U248" s="213"/>
      <c r="V248" s="213"/>
      <c r="W248" s="213"/>
      <c r="X248" s="213"/>
      <c r="Y248" s="213"/>
      <c r="Z248" s="214"/>
      <c r="AB248" s="592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3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3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3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3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3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3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3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3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4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5">
        <f ca="1">IF($D248&lt;&gt;"Serviço",0,IF(AND(AUTOEVENTO="Manual",$M248=1),0,IF(OFFSET(CRONOPLE!$F$14,$M248,AM$13)="",10^12,OFFSET(CRONOPLE!$F$14,$M248,AM$13))))</f>
        <v>2</v>
      </c>
      <c r="AN248" s="215">
        <f ca="1">IF($D248&lt;&gt;"Serviço",0,IF(AND(AUTOEVENTO="Manual",$M248=1),0,IF(OFFSET(CRONOPLE!$F$14,$M248,AN$13)="",10^12,OFFSET(CRONOPLE!$F$14,$M248,AN$13))))</f>
        <v>2</v>
      </c>
      <c r="AO248" s="215">
        <f ca="1">IF($D248&lt;&gt;"Serviço",0,IF(AND(AUTOEVENTO="Manual",$M248=1),0,IF(OFFSET(CRONOPLE!$F$14,$M248,AO$13)="",10^12,OFFSET(CRONOPLE!$F$14,$M248,AO$13))))</f>
        <v>3</v>
      </c>
      <c r="AP248" s="215">
        <f ca="1">IF($D248&lt;&gt;"Serviço",0,IF(AND(AUTOEVENTO="Manual",$M248=1),0,IF(OFFSET(CRONOPLE!$F$14,$M248,AP$13)="",10^12,OFFSET(CRONOPLE!$F$14,$M248,AP$13))))</f>
        <v>1000000000000</v>
      </c>
      <c r="AQ248" s="215">
        <f ca="1">IF($D248&lt;&gt;"Serviço",0,IF(AND(AUTOEVENTO="Manual",$M248=1),0,IF(OFFSET(CRONOPLE!$F$14,$M248,AQ$13)="",10^12,OFFSET(CRONOPLE!$F$14,$M248,AQ$13))))</f>
        <v>1000000000000</v>
      </c>
      <c r="AR248" s="215">
        <f ca="1">IF($D248&lt;&gt;"Serviço",0,IF(AND(AUTOEVENTO="Manual",$M248=1),0,IF(OFFSET(CRONOPLE!$F$14,$M248,AR$13)="",10^12,OFFSET(CRONOPLE!$F$14,$M248,AR$13))))</f>
        <v>1000000000000</v>
      </c>
      <c r="AS248" s="215">
        <f ca="1">IF($D248&lt;&gt;"Serviço",0,IF(AND(AUTOEVENTO="Manual",$M248=1),0,IF(OFFSET(CRONOPLE!$F$14,$M248,AS$13)="",10^12,OFFSET(CRONOPLE!$F$14,$M248,AS$13))))</f>
        <v>1000000000000</v>
      </c>
      <c r="AT248" s="215">
        <f ca="1">IF($D248&lt;&gt;"Serviço",0,IF(AND(AUTOEVENTO="Manual",$M248=1),0,IF(OFFSET(CRONOPLE!$F$14,$M248,AT$13)="",10^12,OFFSET(CRONOPLE!$F$14,$M248,AT$13))))</f>
        <v>1000000000000</v>
      </c>
      <c r="AU248" s="215">
        <f ca="1">IF($D248&lt;&gt;"Serviço",0,IF(AND(AUTOEVENTO="Manual",$M248=1),0,IF(OFFSET(CRONOPLE!$F$14,$M248,AU$13)="",10^12,OFFSET(CRONOPLE!$F$14,$M248,AU$13))))</f>
        <v>1000000000000</v>
      </c>
      <c r="AV248" s="215">
        <f ca="1">IF($D248&lt;&gt;"Serviço",0,IF(AND(AUTOEVENTO="Manual",$M248=1),0,IF(OFFSET(CRONOPLE!$F$14,$M248,AV$13)="",10^12,OFFSET(CRONOPLE!$F$14,$M248,AV$13))))</f>
        <v>1000000000000</v>
      </c>
      <c r="AX248" s="216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6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6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6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6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6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6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6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6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6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37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5" t="str">
        <f ca="1">OFFSET(ORÇAMENTO!N$15,ROW(D249)-ROW(D$15),0)</f>
        <v>Serviço</v>
      </c>
      <c r="E249" s="205" t="str">
        <f ca="1">OFFSET(ORÇAMENTO!O$15,ROW(E249)-ROW(E$15),0)</f>
        <v>-</v>
      </c>
      <c r="F249" s="206" t="str">
        <f ca="1">OFFSET(ORÇAMENTO!R$15,ROW(F249)-ROW(F$15),0)</f>
        <v>(abra o arquivo 'Referência 05-2023.xls)</v>
      </c>
      <c r="G249" s="207" t="str">
        <f ca="1">IF($D249&lt;&gt;"Serviço","",OFFSET(ORÇAMENTO!S$15,ROW(G249)-ROW(G$15),0))</f>
        <v>-</v>
      </c>
      <c r="H249" s="151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1"/>
      <c r="K249" s="208"/>
      <c r="L249" s="209" t="s">
        <v>254</v>
      </c>
      <c r="M249" s="210">
        <f ca="1">IF($D249&lt;&gt;"Serviço","",IF(AUTOEVENTO="manual",$A249,IF(ISERROR(MATCH($A249,$A$15:OFFSET($A249,-1,0),0)),MAX($M$15:OFFSET(M249,-1,0))+1,INDEX($M$15:OFFSET(M249,-1,0),MATCH($A249,$A$15:OFFSET($A249,-1,0),0)))))</f>
        <v>5</v>
      </c>
      <c r="N249" s="211" t="str">
        <f ca="1">IF($D249&lt;&gt;"Serviço","",IF(AUTOEVENTO="Manual",IF($A249=0,"&lt;-- defina o número do agrupador",OFFSET(EVENTOS!$D$14,$A249,0)),OFFSET($F$15,$A249,0)))</f>
        <v>PINTURAS E TEXTURAS</v>
      </c>
      <c r="O249" s="212"/>
      <c r="Q249" s="212"/>
      <c r="R249" s="213"/>
      <c r="S249" s="213"/>
      <c r="T249" s="213"/>
      <c r="U249" s="213"/>
      <c r="V249" s="213"/>
      <c r="W249" s="213"/>
      <c r="X249" s="213"/>
      <c r="Y249" s="213"/>
      <c r="Z249" s="214"/>
      <c r="AB249" s="592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3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3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3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3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3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3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3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3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4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5">
        <f ca="1">IF($D249&lt;&gt;"Serviço",0,IF(AND(AUTOEVENTO="Manual",$M249=1),0,IF(OFFSET(CRONOPLE!$F$14,$M249,AM$13)="",10^12,OFFSET(CRONOPLE!$F$14,$M249,AM$13))))</f>
        <v>2</v>
      </c>
      <c r="AN249" s="215">
        <f ca="1">IF($D249&lt;&gt;"Serviço",0,IF(AND(AUTOEVENTO="Manual",$M249=1),0,IF(OFFSET(CRONOPLE!$F$14,$M249,AN$13)="",10^12,OFFSET(CRONOPLE!$F$14,$M249,AN$13))))</f>
        <v>2</v>
      </c>
      <c r="AO249" s="215">
        <f ca="1">IF($D249&lt;&gt;"Serviço",0,IF(AND(AUTOEVENTO="Manual",$M249=1),0,IF(OFFSET(CRONOPLE!$F$14,$M249,AO$13)="",10^12,OFFSET(CRONOPLE!$F$14,$M249,AO$13))))</f>
        <v>3</v>
      </c>
      <c r="AP249" s="215">
        <f ca="1">IF($D249&lt;&gt;"Serviço",0,IF(AND(AUTOEVENTO="Manual",$M249=1),0,IF(OFFSET(CRONOPLE!$F$14,$M249,AP$13)="",10^12,OFFSET(CRONOPLE!$F$14,$M249,AP$13))))</f>
        <v>1000000000000</v>
      </c>
      <c r="AQ249" s="215">
        <f ca="1">IF($D249&lt;&gt;"Serviço",0,IF(AND(AUTOEVENTO="Manual",$M249=1),0,IF(OFFSET(CRONOPLE!$F$14,$M249,AQ$13)="",10^12,OFFSET(CRONOPLE!$F$14,$M249,AQ$13))))</f>
        <v>1000000000000</v>
      </c>
      <c r="AR249" s="215">
        <f ca="1">IF($D249&lt;&gt;"Serviço",0,IF(AND(AUTOEVENTO="Manual",$M249=1),0,IF(OFFSET(CRONOPLE!$F$14,$M249,AR$13)="",10^12,OFFSET(CRONOPLE!$F$14,$M249,AR$13))))</f>
        <v>1000000000000</v>
      </c>
      <c r="AS249" s="215">
        <f ca="1">IF($D249&lt;&gt;"Serviço",0,IF(AND(AUTOEVENTO="Manual",$M249=1),0,IF(OFFSET(CRONOPLE!$F$14,$M249,AS$13)="",10^12,OFFSET(CRONOPLE!$F$14,$M249,AS$13))))</f>
        <v>1000000000000</v>
      </c>
      <c r="AT249" s="215">
        <f ca="1">IF($D249&lt;&gt;"Serviço",0,IF(AND(AUTOEVENTO="Manual",$M249=1),0,IF(OFFSET(CRONOPLE!$F$14,$M249,AT$13)="",10^12,OFFSET(CRONOPLE!$F$14,$M249,AT$13))))</f>
        <v>1000000000000</v>
      </c>
      <c r="AU249" s="215">
        <f ca="1">IF($D249&lt;&gt;"Serviço",0,IF(AND(AUTOEVENTO="Manual",$M249=1),0,IF(OFFSET(CRONOPLE!$F$14,$M249,AU$13)="",10^12,OFFSET(CRONOPLE!$F$14,$M249,AU$13))))</f>
        <v>1000000000000</v>
      </c>
      <c r="AV249" s="215">
        <f ca="1">IF($D249&lt;&gt;"Serviço",0,IF(AND(AUTOEVENTO="Manual",$M249=1),0,IF(OFFSET(CRONOPLE!$F$14,$M249,AV$13)="",10^12,OFFSET(CRONOPLE!$F$14,$M249,AV$13))))</f>
        <v>1000000000000</v>
      </c>
      <c r="AX249" s="216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6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6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6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6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6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6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6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6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6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37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5" t="str">
        <f ca="1">OFFSET(ORÇAMENTO!N$15,ROW(D250)-ROW(D$15),0)</f>
        <v>Serviço</v>
      </c>
      <c r="E250" s="205" t="str">
        <f ca="1">OFFSET(ORÇAMENTO!O$15,ROW(E250)-ROW(E$15),0)</f>
        <v>-</v>
      </c>
      <c r="F250" s="206" t="str">
        <f ca="1">OFFSET(ORÇAMENTO!R$15,ROW(F250)-ROW(F$15),0)</f>
        <v>(abra o arquivo 'Referência 05-2023.xls)</v>
      </c>
      <c r="G250" s="207" t="str">
        <f ca="1">IF($D250&lt;&gt;"Serviço","",OFFSET(ORÇAMENTO!S$15,ROW(G250)-ROW(G$15),0))</f>
        <v>-</v>
      </c>
      <c r="H250" s="151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1"/>
      <c r="K250" s="208"/>
      <c r="L250" s="209" t="s">
        <v>254</v>
      </c>
      <c r="M250" s="210">
        <f ca="1">IF($D250&lt;&gt;"Serviço","",IF(AUTOEVENTO="manual",$A250,IF(ISERROR(MATCH($A250,$A$15:OFFSET($A250,-1,0),0)),MAX($M$15:OFFSET(M250,-1,0))+1,INDEX($M$15:OFFSET(M250,-1,0),MATCH($A250,$A$15:OFFSET($A250,-1,0),0)))))</f>
        <v>5</v>
      </c>
      <c r="N250" s="211" t="str">
        <f ca="1">IF($D250&lt;&gt;"Serviço","",IF(AUTOEVENTO="Manual",IF($A250=0,"&lt;-- defina o número do agrupador",OFFSET(EVENTOS!$D$14,$A250,0)),OFFSET($F$15,$A250,0)))</f>
        <v>PINTURAS E TEXTURAS</v>
      </c>
      <c r="O250" s="212"/>
      <c r="Q250" s="212"/>
      <c r="R250" s="213"/>
      <c r="S250" s="213"/>
      <c r="T250" s="213"/>
      <c r="U250" s="213"/>
      <c r="V250" s="213"/>
      <c r="W250" s="213"/>
      <c r="X250" s="213"/>
      <c r="Y250" s="213"/>
      <c r="Z250" s="214"/>
      <c r="AB250" s="592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3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3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3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3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3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3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3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3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4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5">
        <f ca="1">IF($D250&lt;&gt;"Serviço",0,IF(AND(AUTOEVENTO="Manual",$M250=1),0,IF(OFFSET(CRONOPLE!$F$14,$M250,AM$13)="",10^12,OFFSET(CRONOPLE!$F$14,$M250,AM$13))))</f>
        <v>2</v>
      </c>
      <c r="AN250" s="215">
        <f ca="1">IF($D250&lt;&gt;"Serviço",0,IF(AND(AUTOEVENTO="Manual",$M250=1),0,IF(OFFSET(CRONOPLE!$F$14,$M250,AN$13)="",10^12,OFFSET(CRONOPLE!$F$14,$M250,AN$13))))</f>
        <v>2</v>
      </c>
      <c r="AO250" s="215">
        <f ca="1">IF($D250&lt;&gt;"Serviço",0,IF(AND(AUTOEVENTO="Manual",$M250=1),0,IF(OFFSET(CRONOPLE!$F$14,$M250,AO$13)="",10^12,OFFSET(CRONOPLE!$F$14,$M250,AO$13))))</f>
        <v>3</v>
      </c>
      <c r="AP250" s="215">
        <f ca="1">IF($D250&lt;&gt;"Serviço",0,IF(AND(AUTOEVENTO="Manual",$M250=1),0,IF(OFFSET(CRONOPLE!$F$14,$M250,AP$13)="",10^12,OFFSET(CRONOPLE!$F$14,$M250,AP$13))))</f>
        <v>1000000000000</v>
      </c>
      <c r="AQ250" s="215">
        <f ca="1">IF($D250&lt;&gt;"Serviço",0,IF(AND(AUTOEVENTO="Manual",$M250=1),0,IF(OFFSET(CRONOPLE!$F$14,$M250,AQ$13)="",10^12,OFFSET(CRONOPLE!$F$14,$M250,AQ$13))))</f>
        <v>1000000000000</v>
      </c>
      <c r="AR250" s="215">
        <f ca="1">IF($D250&lt;&gt;"Serviço",0,IF(AND(AUTOEVENTO="Manual",$M250=1),0,IF(OFFSET(CRONOPLE!$F$14,$M250,AR$13)="",10^12,OFFSET(CRONOPLE!$F$14,$M250,AR$13))))</f>
        <v>1000000000000</v>
      </c>
      <c r="AS250" s="215">
        <f ca="1">IF($D250&lt;&gt;"Serviço",0,IF(AND(AUTOEVENTO="Manual",$M250=1),0,IF(OFFSET(CRONOPLE!$F$14,$M250,AS$13)="",10^12,OFFSET(CRONOPLE!$F$14,$M250,AS$13))))</f>
        <v>1000000000000</v>
      </c>
      <c r="AT250" s="215">
        <f ca="1">IF($D250&lt;&gt;"Serviço",0,IF(AND(AUTOEVENTO="Manual",$M250=1),0,IF(OFFSET(CRONOPLE!$F$14,$M250,AT$13)="",10^12,OFFSET(CRONOPLE!$F$14,$M250,AT$13))))</f>
        <v>1000000000000</v>
      </c>
      <c r="AU250" s="215">
        <f ca="1">IF($D250&lt;&gt;"Serviço",0,IF(AND(AUTOEVENTO="Manual",$M250=1),0,IF(OFFSET(CRONOPLE!$F$14,$M250,AU$13)="",10^12,OFFSET(CRONOPLE!$F$14,$M250,AU$13))))</f>
        <v>1000000000000</v>
      </c>
      <c r="AV250" s="215">
        <f ca="1">IF($D250&lt;&gt;"Serviço",0,IF(AND(AUTOEVENTO="Manual",$M250=1),0,IF(OFFSET(CRONOPLE!$F$14,$M250,AV$13)="",10^12,OFFSET(CRONOPLE!$F$14,$M250,AV$13))))</f>
        <v>1000000000000</v>
      </c>
      <c r="AX250" s="216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6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6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6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6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6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6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6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6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6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37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5" t="str">
        <f ca="1">OFFSET(ORÇAMENTO!N$15,ROW(D251)-ROW(D$15),0)</f>
        <v>Serviço</v>
      </c>
      <c r="E251" s="205" t="str">
        <f ca="1">OFFSET(ORÇAMENTO!O$15,ROW(E251)-ROW(E$15),0)</f>
        <v>-</v>
      </c>
      <c r="F251" s="206" t="str">
        <f ca="1">OFFSET(ORÇAMENTO!R$15,ROW(F251)-ROW(F$15),0)</f>
        <v>(abra o arquivo 'Referência 05-2023.xls)</v>
      </c>
      <c r="G251" s="207" t="str">
        <f ca="1">IF($D251&lt;&gt;"Serviço","",OFFSET(ORÇAMENTO!S$15,ROW(G251)-ROW(G$15),0))</f>
        <v>-</v>
      </c>
      <c r="H251" s="151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1"/>
      <c r="K251" s="208"/>
      <c r="L251" s="209" t="s">
        <v>254</v>
      </c>
      <c r="M251" s="210">
        <f ca="1">IF($D251&lt;&gt;"Serviço","",IF(AUTOEVENTO="manual",$A251,IF(ISERROR(MATCH($A251,$A$15:OFFSET($A251,-1,0),0)),MAX($M$15:OFFSET(M251,-1,0))+1,INDEX($M$15:OFFSET(M251,-1,0),MATCH($A251,$A$15:OFFSET($A251,-1,0),0)))))</f>
        <v>5</v>
      </c>
      <c r="N251" s="211" t="str">
        <f ca="1">IF($D251&lt;&gt;"Serviço","",IF(AUTOEVENTO="Manual",IF($A251=0,"&lt;-- defina o número do agrupador",OFFSET(EVENTOS!$D$14,$A251,0)),OFFSET($F$15,$A251,0)))</f>
        <v>PINTURAS E TEXTURAS</v>
      </c>
      <c r="O251" s="212"/>
      <c r="Q251" s="212"/>
      <c r="R251" s="213"/>
      <c r="S251" s="213"/>
      <c r="T251" s="213"/>
      <c r="U251" s="213"/>
      <c r="V251" s="213"/>
      <c r="W251" s="213"/>
      <c r="X251" s="213"/>
      <c r="Y251" s="213"/>
      <c r="Z251" s="214"/>
      <c r="AB251" s="592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3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3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3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3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3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3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3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3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4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5">
        <f ca="1">IF($D251&lt;&gt;"Serviço",0,IF(AND(AUTOEVENTO="Manual",$M251=1),0,IF(OFFSET(CRONOPLE!$F$14,$M251,AM$13)="",10^12,OFFSET(CRONOPLE!$F$14,$M251,AM$13))))</f>
        <v>2</v>
      </c>
      <c r="AN251" s="215">
        <f ca="1">IF($D251&lt;&gt;"Serviço",0,IF(AND(AUTOEVENTO="Manual",$M251=1),0,IF(OFFSET(CRONOPLE!$F$14,$M251,AN$13)="",10^12,OFFSET(CRONOPLE!$F$14,$M251,AN$13))))</f>
        <v>2</v>
      </c>
      <c r="AO251" s="215">
        <f ca="1">IF($D251&lt;&gt;"Serviço",0,IF(AND(AUTOEVENTO="Manual",$M251=1),0,IF(OFFSET(CRONOPLE!$F$14,$M251,AO$13)="",10^12,OFFSET(CRONOPLE!$F$14,$M251,AO$13))))</f>
        <v>3</v>
      </c>
      <c r="AP251" s="215">
        <f ca="1">IF($D251&lt;&gt;"Serviço",0,IF(AND(AUTOEVENTO="Manual",$M251=1),0,IF(OFFSET(CRONOPLE!$F$14,$M251,AP$13)="",10^12,OFFSET(CRONOPLE!$F$14,$M251,AP$13))))</f>
        <v>1000000000000</v>
      </c>
      <c r="AQ251" s="215">
        <f ca="1">IF($D251&lt;&gt;"Serviço",0,IF(AND(AUTOEVENTO="Manual",$M251=1),0,IF(OFFSET(CRONOPLE!$F$14,$M251,AQ$13)="",10^12,OFFSET(CRONOPLE!$F$14,$M251,AQ$13))))</f>
        <v>1000000000000</v>
      </c>
      <c r="AR251" s="215">
        <f ca="1">IF($D251&lt;&gt;"Serviço",0,IF(AND(AUTOEVENTO="Manual",$M251=1),0,IF(OFFSET(CRONOPLE!$F$14,$M251,AR$13)="",10^12,OFFSET(CRONOPLE!$F$14,$M251,AR$13))))</f>
        <v>1000000000000</v>
      </c>
      <c r="AS251" s="215">
        <f ca="1">IF($D251&lt;&gt;"Serviço",0,IF(AND(AUTOEVENTO="Manual",$M251=1),0,IF(OFFSET(CRONOPLE!$F$14,$M251,AS$13)="",10^12,OFFSET(CRONOPLE!$F$14,$M251,AS$13))))</f>
        <v>1000000000000</v>
      </c>
      <c r="AT251" s="215">
        <f ca="1">IF($D251&lt;&gt;"Serviço",0,IF(AND(AUTOEVENTO="Manual",$M251=1),0,IF(OFFSET(CRONOPLE!$F$14,$M251,AT$13)="",10^12,OFFSET(CRONOPLE!$F$14,$M251,AT$13))))</f>
        <v>1000000000000</v>
      </c>
      <c r="AU251" s="215">
        <f ca="1">IF($D251&lt;&gt;"Serviço",0,IF(AND(AUTOEVENTO="Manual",$M251=1),0,IF(OFFSET(CRONOPLE!$F$14,$M251,AU$13)="",10^12,OFFSET(CRONOPLE!$F$14,$M251,AU$13))))</f>
        <v>1000000000000</v>
      </c>
      <c r="AV251" s="215">
        <f ca="1">IF($D251&lt;&gt;"Serviço",0,IF(AND(AUTOEVENTO="Manual",$M251=1),0,IF(OFFSET(CRONOPLE!$F$14,$M251,AV$13)="",10^12,OFFSET(CRONOPLE!$F$14,$M251,AV$13))))</f>
        <v>1000000000000</v>
      </c>
      <c r="AX251" s="216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6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6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6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6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6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6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6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6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6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37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5" t="str">
        <f ca="1">OFFSET(ORÇAMENTO!N$15,ROW(D252)-ROW(D$15),0)</f>
        <v>Serviço</v>
      </c>
      <c r="E252" s="205" t="str">
        <f ca="1">OFFSET(ORÇAMENTO!O$15,ROW(E252)-ROW(E$15),0)</f>
        <v>-</v>
      </c>
      <c r="F252" s="206" t="str">
        <f ca="1">OFFSET(ORÇAMENTO!R$15,ROW(F252)-ROW(F$15),0)</f>
        <v>(abra o arquivo 'Referência 05-2023.xls)</v>
      </c>
      <c r="G252" s="207" t="str">
        <f ca="1">IF($D252&lt;&gt;"Serviço","",OFFSET(ORÇAMENTO!S$15,ROW(G252)-ROW(G$15),0))</f>
        <v>-</v>
      </c>
      <c r="H252" s="151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1"/>
      <c r="K252" s="208"/>
      <c r="L252" s="209" t="s">
        <v>254</v>
      </c>
      <c r="M252" s="210">
        <f ca="1">IF($D252&lt;&gt;"Serviço","",IF(AUTOEVENTO="manual",$A252,IF(ISERROR(MATCH($A252,$A$15:OFFSET($A252,-1,0),0)),MAX($M$15:OFFSET(M252,-1,0))+1,INDEX($M$15:OFFSET(M252,-1,0),MATCH($A252,$A$15:OFFSET($A252,-1,0),0)))))</f>
        <v>5</v>
      </c>
      <c r="N252" s="211" t="str">
        <f ca="1">IF($D252&lt;&gt;"Serviço","",IF(AUTOEVENTO="Manual",IF($A252=0,"&lt;-- defina o número do agrupador",OFFSET(EVENTOS!$D$14,$A252,0)),OFFSET($F$15,$A252,0)))</f>
        <v>PINTURAS E TEXTURAS</v>
      </c>
      <c r="O252" s="212"/>
      <c r="Q252" s="212"/>
      <c r="R252" s="213"/>
      <c r="S252" s="213"/>
      <c r="T252" s="213"/>
      <c r="U252" s="213"/>
      <c r="V252" s="213"/>
      <c r="W252" s="213"/>
      <c r="X252" s="213"/>
      <c r="Y252" s="213"/>
      <c r="Z252" s="214"/>
      <c r="AB252" s="592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3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3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3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3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3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3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3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3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4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5">
        <f ca="1">IF($D252&lt;&gt;"Serviço",0,IF(AND(AUTOEVENTO="Manual",$M252=1),0,IF(OFFSET(CRONOPLE!$F$14,$M252,AM$13)="",10^12,OFFSET(CRONOPLE!$F$14,$M252,AM$13))))</f>
        <v>2</v>
      </c>
      <c r="AN252" s="215">
        <f ca="1">IF($D252&lt;&gt;"Serviço",0,IF(AND(AUTOEVENTO="Manual",$M252=1),0,IF(OFFSET(CRONOPLE!$F$14,$M252,AN$13)="",10^12,OFFSET(CRONOPLE!$F$14,$M252,AN$13))))</f>
        <v>2</v>
      </c>
      <c r="AO252" s="215">
        <f ca="1">IF($D252&lt;&gt;"Serviço",0,IF(AND(AUTOEVENTO="Manual",$M252=1),0,IF(OFFSET(CRONOPLE!$F$14,$M252,AO$13)="",10^12,OFFSET(CRONOPLE!$F$14,$M252,AO$13))))</f>
        <v>3</v>
      </c>
      <c r="AP252" s="215">
        <f ca="1">IF($D252&lt;&gt;"Serviço",0,IF(AND(AUTOEVENTO="Manual",$M252=1),0,IF(OFFSET(CRONOPLE!$F$14,$M252,AP$13)="",10^12,OFFSET(CRONOPLE!$F$14,$M252,AP$13))))</f>
        <v>1000000000000</v>
      </c>
      <c r="AQ252" s="215">
        <f ca="1">IF($D252&lt;&gt;"Serviço",0,IF(AND(AUTOEVENTO="Manual",$M252=1),0,IF(OFFSET(CRONOPLE!$F$14,$M252,AQ$13)="",10^12,OFFSET(CRONOPLE!$F$14,$M252,AQ$13))))</f>
        <v>1000000000000</v>
      </c>
      <c r="AR252" s="215">
        <f ca="1">IF($D252&lt;&gt;"Serviço",0,IF(AND(AUTOEVENTO="Manual",$M252=1),0,IF(OFFSET(CRONOPLE!$F$14,$M252,AR$13)="",10^12,OFFSET(CRONOPLE!$F$14,$M252,AR$13))))</f>
        <v>1000000000000</v>
      </c>
      <c r="AS252" s="215">
        <f ca="1">IF($D252&lt;&gt;"Serviço",0,IF(AND(AUTOEVENTO="Manual",$M252=1),0,IF(OFFSET(CRONOPLE!$F$14,$M252,AS$13)="",10^12,OFFSET(CRONOPLE!$F$14,$M252,AS$13))))</f>
        <v>1000000000000</v>
      </c>
      <c r="AT252" s="215">
        <f ca="1">IF($D252&lt;&gt;"Serviço",0,IF(AND(AUTOEVENTO="Manual",$M252=1),0,IF(OFFSET(CRONOPLE!$F$14,$M252,AT$13)="",10^12,OFFSET(CRONOPLE!$F$14,$M252,AT$13))))</f>
        <v>1000000000000</v>
      </c>
      <c r="AU252" s="215">
        <f ca="1">IF($D252&lt;&gt;"Serviço",0,IF(AND(AUTOEVENTO="Manual",$M252=1),0,IF(OFFSET(CRONOPLE!$F$14,$M252,AU$13)="",10^12,OFFSET(CRONOPLE!$F$14,$M252,AU$13))))</f>
        <v>1000000000000</v>
      </c>
      <c r="AV252" s="215">
        <f ca="1">IF($D252&lt;&gt;"Serviço",0,IF(AND(AUTOEVENTO="Manual",$M252=1),0,IF(OFFSET(CRONOPLE!$F$14,$M252,AV$13)="",10^12,OFFSET(CRONOPLE!$F$14,$M252,AV$13))))</f>
        <v>1000000000000</v>
      </c>
      <c r="AX252" s="216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6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6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6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6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6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6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6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6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6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37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5" t="str">
        <f ca="1">OFFSET(ORÇAMENTO!N$15,ROW(D253)-ROW(D$15),0)</f>
        <v>Serviço</v>
      </c>
      <c r="E253" s="205" t="str">
        <f ca="1">OFFSET(ORÇAMENTO!O$15,ROW(E253)-ROW(E$15),0)</f>
        <v>-</v>
      </c>
      <c r="F253" s="206" t="str">
        <f ca="1">OFFSET(ORÇAMENTO!R$15,ROW(F253)-ROW(F$15),0)</f>
        <v>(abra o arquivo 'Referência 05-2023.xls)</v>
      </c>
      <c r="G253" s="207" t="str">
        <f ca="1">IF($D253&lt;&gt;"Serviço","",OFFSET(ORÇAMENTO!S$15,ROW(G253)-ROW(G$15),0))</f>
        <v>-</v>
      </c>
      <c r="H253" s="151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1"/>
      <c r="K253" s="208"/>
      <c r="L253" s="209" t="s">
        <v>254</v>
      </c>
      <c r="M253" s="210">
        <f ca="1">IF($D253&lt;&gt;"Serviço","",IF(AUTOEVENTO="manual",$A253,IF(ISERROR(MATCH($A253,$A$15:OFFSET($A253,-1,0),0)),MAX($M$15:OFFSET(M253,-1,0))+1,INDEX($M$15:OFFSET(M253,-1,0),MATCH($A253,$A$15:OFFSET($A253,-1,0),0)))))</f>
        <v>5</v>
      </c>
      <c r="N253" s="211" t="str">
        <f ca="1">IF($D253&lt;&gt;"Serviço","",IF(AUTOEVENTO="Manual",IF($A253=0,"&lt;-- defina o número do agrupador",OFFSET(EVENTOS!$D$14,$A253,0)),OFFSET($F$15,$A253,0)))</f>
        <v>PINTURAS E TEXTURAS</v>
      </c>
      <c r="O253" s="212"/>
      <c r="Q253" s="212"/>
      <c r="R253" s="213"/>
      <c r="S253" s="213"/>
      <c r="T253" s="213"/>
      <c r="U253" s="213"/>
      <c r="V253" s="213"/>
      <c r="W253" s="213"/>
      <c r="X253" s="213"/>
      <c r="Y253" s="213"/>
      <c r="Z253" s="214"/>
      <c r="AB253" s="592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3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3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3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3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3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3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3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3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4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5">
        <f ca="1">IF($D253&lt;&gt;"Serviço",0,IF(AND(AUTOEVENTO="Manual",$M253=1),0,IF(OFFSET(CRONOPLE!$F$14,$M253,AM$13)="",10^12,OFFSET(CRONOPLE!$F$14,$M253,AM$13))))</f>
        <v>2</v>
      </c>
      <c r="AN253" s="215">
        <f ca="1">IF($D253&lt;&gt;"Serviço",0,IF(AND(AUTOEVENTO="Manual",$M253=1),0,IF(OFFSET(CRONOPLE!$F$14,$M253,AN$13)="",10^12,OFFSET(CRONOPLE!$F$14,$M253,AN$13))))</f>
        <v>2</v>
      </c>
      <c r="AO253" s="215">
        <f ca="1">IF($D253&lt;&gt;"Serviço",0,IF(AND(AUTOEVENTO="Manual",$M253=1),0,IF(OFFSET(CRONOPLE!$F$14,$M253,AO$13)="",10^12,OFFSET(CRONOPLE!$F$14,$M253,AO$13))))</f>
        <v>3</v>
      </c>
      <c r="AP253" s="215">
        <f ca="1">IF($D253&lt;&gt;"Serviço",0,IF(AND(AUTOEVENTO="Manual",$M253=1),0,IF(OFFSET(CRONOPLE!$F$14,$M253,AP$13)="",10^12,OFFSET(CRONOPLE!$F$14,$M253,AP$13))))</f>
        <v>1000000000000</v>
      </c>
      <c r="AQ253" s="215">
        <f ca="1">IF($D253&lt;&gt;"Serviço",0,IF(AND(AUTOEVENTO="Manual",$M253=1),0,IF(OFFSET(CRONOPLE!$F$14,$M253,AQ$13)="",10^12,OFFSET(CRONOPLE!$F$14,$M253,AQ$13))))</f>
        <v>1000000000000</v>
      </c>
      <c r="AR253" s="215">
        <f ca="1">IF($D253&lt;&gt;"Serviço",0,IF(AND(AUTOEVENTO="Manual",$M253=1),0,IF(OFFSET(CRONOPLE!$F$14,$M253,AR$13)="",10^12,OFFSET(CRONOPLE!$F$14,$M253,AR$13))))</f>
        <v>1000000000000</v>
      </c>
      <c r="AS253" s="215">
        <f ca="1">IF($D253&lt;&gt;"Serviço",0,IF(AND(AUTOEVENTO="Manual",$M253=1),0,IF(OFFSET(CRONOPLE!$F$14,$M253,AS$13)="",10^12,OFFSET(CRONOPLE!$F$14,$M253,AS$13))))</f>
        <v>1000000000000</v>
      </c>
      <c r="AT253" s="215">
        <f ca="1">IF($D253&lt;&gt;"Serviço",0,IF(AND(AUTOEVENTO="Manual",$M253=1),0,IF(OFFSET(CRONOPLE!$F$14,$M253,AT$13)="",10^12,OFFSET(CRONOPLE!$F$14,$M253,AT$13))))</f>
        <v>1000000000000</v>
      </c>
      <c r="AU253" s="215">
        <f ca="1">IF($D253&lt;&gt;"Serviço",0,IF(AND(AUTOEVENTO="Manual",$M253=1),0,IF(OFFSET(CRONOPLE!$F$14,$M253,AU$13)="",10^12,OFFSET(CRONOPLE!$F$14,$M253,AU$13))))</f>
        <v>1000000000000</v>
      </c>
      <c r="AV253" s="215">
        <f ca="1">IF($D253&lt;&gt;"Serviço",0,IF(AND(AUTOEVENTO="Manual",$M253=1),0,IF(OFFSET(CRONOPLE!$F$14,$M253,AV$13)="",10^12,OFFSET(CRONOPLE!$F$14,$M253,AV$13))))</f>
        <v>1000000000000</v>
      </c>
      <c r="AX253" s="216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6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6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6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6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6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6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6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6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6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37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5" t="str">
        <f ca="1">OFFSET(ORÇAMENTO!N$15,ROW(D254)-ROW(D$15),0)</f>
        <v>Serviço</v>
      </c>
      <c r="E254" s="205" t="str">
        <f ca="1">OFFSET(ORÇAMENTO!O$15,ROW(E254)-ROW(E$15),0)</f>
        <v>-</v>
      </c>
      <c r="F254" s="206" t="str">
        <f ca="1">OFFSET(ORÇAMENTO!R$15,ROW(F254)-ROW(F$15),0)</f>
        <v>(abra o arquivo 'Referência 05-2023.xls)</v>
      </c>
      <c r="G254" s="207" t="str">
        <f ca="1">IF($D254&lt;&gt;"Serviço","",OFFSET(ORÇAMENTO!S$15,ROW(G254)-ROW(G$15),0))</f>
        <v>-</v>
      </c>
      <c r="H254" s="151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1"/>
      <c r="K254" s="208"/>
      <c r="L254" s="209" t="s">
        <v>254</v>
      </c>
      <c r="M254" s="210">
        <f ca="1">IF($D254&lt;&gt;"Serviço","",IF(AUTOEVENTO="manual",$A254,IF(ISERROR(MATCH($A254,$A$15:OFFSET($A254,-1,0),0)),MAX($M$15:OFFSET(M254,-1,0))+1,INDEX($M$15:OFFSET(M254,-1,0),MATCH($A254,$A$15:OFFSET($A254,-1,0),0)))))</f>
        <v>5</v>
      </c>
      <c r="N254" s="211" t="str">
        <f ca="1">IF($D254&lt;&gt;"Serviço","",IF(AUTOEVENTO="Manual",IF($A254=0,"&lt;-- defina o número do agrupador",OFFSET(EVENTOS!$D$14,$A254,0)),OFFSET($F$15,$A254,0)))</f>
        <v>PINTURAS E TEXTURAS</v>
      </c>
      <c r="O254" s="212"/>
      <c r="Q254" s="212"/>
      <c r="R254" s="213"/>
      <c r="S254" s="213"/>
      <c r="T254" s="213"/>
      <c r="U254" s="213"/>
      <c r="V254" s="213"/>
      <c r="W254" s="213"/>
      <c r="X254" s="213"/>
      <c r="Y254" s="213"/>
      <c r="Z254" s="214"/>
      <c r="AB254" s="592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3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3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3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3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3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3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3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3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4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5">
        <f ca="1">IF($D254&lt;&gt;"Serviço",0,IF(AND(AUTOEVENTO="Manual",$M254=1),0,IF(OFFSET(CRONOPLE!$F$14,$M254,AM$13)="",10^12,OFFSET(CRONOPLE!$F$14,$M254,AM$13))))</f>
        <v>2</v>
      </c>
      <c r="AN254" s="215">
        <f ca="1">IF($D254&lt;&gt;"Serviço",0,IF(AND(AUTOEVENTO="Manual",$M254=1),0,IF(OFFSET(CRONOPLE!$F$14,$M254,AN$13)="",10^12,OFFSET(CRONOPLE!$F$14,$M254,AN$13))))</f>
        <v>2</v>
      </c>
      <c r="AO254" s="215">
        <f ca="1">IF($D254&lt;&gt;"Serviço",0,IF(AND(AUTOEVENTO="Manual",$M254=1),0,IF(OFFSET(CRONOPLE!$F$14,$M254,AO$13)="",10^12,OFFSET(CRONOPLE!$F$14,$M254,AO$13))))</f>
        <v>3</v>
      </c>
      <c r="AP254" s="215">
        <f ca="1">IF($D254&lt;&gt;"Serviço",0,IF(AND(AUTOEVENTO="Manual",$M254=1),0,IF(OFFSET(CRONOPLE!$F$14,$M254,AP$13)="",10^12,OFFSET(CRONOPLE!$F$14,$M254,AP$13))))</f>
        <v>1000000000000</v>
      </c>
      <c r="AQ254" s="215">
        <f ca="1">IF($D254&lt;&gt;"Serviço",0,IF(AND(AUTOEVENTO="Manual",$M254=1),0,IF(OFFSET(CRONOPLE!$F$14,$M254,AQ$13)="",10^12,OFFSET(CRONOPLE!$F$14,$M254,AQ$13))))</f>
        <v>1000000000000</v>
      </c>
      <c r="AR254" s="215">
        <f ca="1">IF($D254&lt;&gt;"Serviço",0,IF(AND(AUTOEVENTO="Manual",$M254=1),0,IF(OFFSET(CRONOPLE!$F$14,$M254,AR$13)="",10^12,OFFSET(CRONOPLE!$F$14,$M254,AR$13))))</f>
        <v>1000000000000</v>
      </c>
      <c r="AS254" s="215">
        <f ca="1">IF($D254&lt;&gt;"Serviço",0,IF(AND(AUTOEVENTO="Manual",$M254=1),0,IF(OFFSET(CRONOPLE!$F$14,$M254,AS$13)="",10^12,OFFSET(CRONOPLE!$F$14,$M254,AS$13))))</f>
        <v>1000000000000</v>
      </c>
      <c r="AT254" s="215">
        <f ca="1">IF($D254&lt;&gt;"Serviço",0,IF(AND(AUTOEVENTO="Manual",$M254=1),0,IF(OFFSET(CRONOPLE!$F$14,$M254,AT$13)="",10^12,OFFSET(CRONOPLE!$F$14,$M254,AT$13))))</f>
        <v>1000000000000</v>
      </c>
      <c r="AU254" s="215">
        <f ca="1">IF($D254&lt;&gt;"Serviço",0,IF(AND(AUTOEVENTO="Manual",$M254=1),0,IF(OFFSET(CRONOPLE!$F$14,$M254,AU$13)="",10^12,OFFSET(CRONOPLE!$F$14,$M254,AU$13))))</f>
        <v>1000000000000</v>
      </c>
      <c r="AV254" s="215">
        <f ca="1">IF($D254&lt;&gt;"Serviço",0,IF(AND(AUTOEVENTO="Manual",$M254=1),0,IF(OFFSET(CRONOPLE!$F$14,$M254,AV$13)="",10^12,OFFSET(CRONOPLE!$F$14,$M254,AV$13))))</f>
        <v>1000000000000</v>
      </c>
      <c r="AX254" s="216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6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6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6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6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6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6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6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6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6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37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5" t="str">
        <f ca="1">OFFSET(ORÇAMENTO!N$15,ROW(D255)-ROW(D$15),0)</f>
        <v>Serviço</v>
      </c>
      <c r="E255" s="205" t="str">
        <f ca="1">OFFSET(ORÇAMENTO!O$15,ROW(E255)-ROW(E$15),0)</f>
        <v>-</v>
      </c>
      <c r="F255" s="206" t="str">
        <f ca="1">OFFSET(ORÇAMENTO!R$15,ROW(F255)-ROW(F$15),0)</f>
        <v>(abra o arquivo 'Referência 05-2023.xls)</v>
      </c>
      <c r="G255" s="207" t="str">
        <f ca="1">IF($D255&lt;&gt;"Serviço","",OFFSET(ORÇAMENTO!S$15,ROW(G255)-ROW(G$15),0))</f>
        <v>-</v>
      </c>
      <c r="H255" s="151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1"/>
      <c r="K255" s="208"/>
      <c r="L255" s="209" t="s">
        <v>254</v>
      </c>
      <c r="M255" s="210">
        <f ca="1">IF($D255&lt;&gt;"Serviço","",IF(AUTOEVENTO="manual",$A255,IF(ISERROR(MATCH($A255,$A$15:OFFSET($A255,-1,0),0)),MAX($M$15:OFFSET(M255,-1,0))+1,INDEX($M$15:OFFSET(M255,-1,0),MATCH($A255,$A$15:OFFSET($A255,-1,0),0)))))</f>
        <v>5</v>
      </c>
      <c r="N255" s="211" t="str">
        <f ca="1">IF($D255&lt;&gt;"Serviço","",IF(AUTOEVENTO="Manual",IF($A255=0,"&lt;-- defina o número do agrupador",OFFSET(EVENTOS!$D$14,$A255,0)),OFFSET($F$15,$A255,0)))</f>
        <v>PINTURAS E TEXTURAS</v>
      </c>
      <c r="O255" s="212"/>
      <c r="Q255" s="212"/>
      <c r="R255" s="213"/>
      <c r="S255" s="213"/>
      <c r="T255" s="213"/>
      <c r="U255" s="213"/>
      <c r="V255" s="213"/>
      <c r="W255" s="213"/>
      <c r="X255" s="213"/>
      <c r="Y255" s="213"/>
      <c r="Z255" s="214"/>
      <c r="AB255" s="592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3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3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3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3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3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3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3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3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4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5">
        <f ca="1">IF($D255&lt;&gt;"Serviço",0,IF(AND(AUTOEVENTO="Manual",$M255=1),0,IF(OFFSET(CRONOPLE!$F$14,$M255,AM$13)="",10^12,OFFSET(CRONOPLE!$F$14,$M255,AM$13))))</f>
        <v>2</v>
      </c>
      <c r="AN255" s="215">
        <f ca="1">IF($D255&lt;&gt;"Serviço",0,IF(AND(AUTOEVENTO="Manual",$M255=1),0,IF(OFFSET(CRONOPLE!$F$14,$M255,AN$13)="",10^12,OFFSET(CRONOPLE!$F$14,$M255,AN$13))))</f>
        <v>2</v>
      </c>
      <c r="AO255" s="215">
        <f ca="1">IF($D255&lt;&gt;"Serviço",0,IF(AND(AUTOEVENTO="Manual",$M255=1),0,IF(OFFSET(CRONOPLE!$F$14,$M255,AO$13)="",10^12,OFFSET(CRONOPLE!$F$14,$M255,AO$13))))</f>
        <v>3</v>
      </c>
      <c r="AP255" s="215">
        <f ca="1">IF($D255&lt;&gt;"Serviço",0,IF(AND(AUTOEVENTO="Manual",$M255=1),0,IF(OFFSET(CRONOPLE!$F$14,$M255,AP$13)="",10^12,OFFSET(CRONOPLE!$F$14,$M255,AP$13))))</f>
        <v>1000000000000</v>
      </c>
      <c r="AQ255" s="215">
        <f ca="1">IF($D255&lt;&gt;"Serviço",0,IF(AND(AUTOEVENTO="Manual",$M255=1),0,IF(OFFSET(CRONOPLE!$F$14,$M255,AQ$13)="",10^12,OFFSET(CRONOPLE!$F$14,$M255,AQ$13))))</f>
        <v>1000000000000</v>
      </c>
      <c r="AR255" s="215">
        <f ca="1">IF($D255&lt;&gt;"Serviço",0,IF(AND(AUTOEVENTO="Manual",$M255=1),0,IF(OFFSET(CRONOPLE!$F$14,$M255,AR$13)="",10^12,OFFSET(CRONOPLE!$F$14,$M255,AR$13))))</f>
        <v>1000000000000</v>
      </c>
      <c r="AS255" s="215">
        <f ca="1">IF($D255&lt;&gt;"Serviço",0,IF(AND(AUTOEVENTO="Manual",$M255=1),0,IF(OFFSET(CRONOPLE!$F$14,$M255,AS$13)="",10^12,OFFSET(CRONOPLE!$F$14,$M255,AS$13))))</f>
        <v>1000000000000</v>
      </c>
      <c r="AT255" s="215">
        <f ca="1">IF($D255&lt;&gt;"Serviço",0,IF(AND(AUTOEVENTO="Manual",$M255=1),0,IF(OFFSET(CRONOPLE!$F$14,$M255,AT$13)="",10^12,OFFSET(CRONOPLE!$F$14,$M255,AT$13))))</f>
        <v>1000000000000</v>
      </c>
      <c r="AU255" s="215">
        <f ca="1">IF($D255&lt;&gt;"Serviço",0,IF(AND(AUTOEVENTO="Manual",$M255=1),0,IF(OFFSET(CRONOPLE!$F$14,$M255,AU$13)="",10^12,OFFSET(CRONOPLE!$F$14,$M255,AU$13))))</f>
        <v>1000000000000</v>
      </c>
      <c r="AV255" s="215">
        <f ca="1">IF($D255&lt;&gt;"Serviço",0,IF(AND(AUTOEVENTO="Manual",$M255=1),0,IF(OFFSET(CRONOPLE!$F$14,$M255,AV$13)="",10^12,OFFSET(CRONOPLE!$F$14,$M255,AV$13))))</f>
        <v>1000000000000</v>
      </c>
      <c r="AX255" s="216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6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6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6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6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6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6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6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6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6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37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5" t="str">
        <f ca="1">OFFSET(ORÇAMENTO!N$15,ROW(D256)-ROW(D$15),0)</f>
        <v>Serviço</v>
      </c>
      <c r="E256" s="205" t="str">
        <f ca="1">OFFSET(ORÇAMENTO!O$15,ROW(E256)-ROW(E$15),0)</f>
        <v>-</v>
      </c>
      <c r="F256" s="206" t="str">
        <f ca="1">OFFSET(ORÇAMENTO!R$15,ROW(F256)-ROW(F$15),0)</f>
        <v>(abra o arquivo 'Referência 05-2023.xls)</v>
      </c>
      <c r="G256" s="207" t="str">
        <f ca="1">IF($D256&lt;&gt;"Serviço","",OFFSET(ORÇAMENTO!S$15,ROW(G256)-ROW(G$15),0))</f>
        <v>-</v>
      </c>
      <c r="H256" s="151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1"/>
      <c r="K256" s="208"/>
      <c r="L256" s="209" t="s">
        <v>254</v>
      </c>
      <c r="M256" s="210">
        <f ca="1">IF($D256&lt;&gt;"Serviço","",IF(AUTOEVENTO="manual",$A256,IF(ISERROR(MATCH($A256,$A$15:OFFSET($A256,-1,0),0)),MAX($M$15:OFFSET(M256,-1,0))+1,INDEX($M$15:OFFSET(M256,-1,0),MATCH($A256,$A$15:OFFSET($A256,-1,0),0)))))</f>
        <v>5</v>
      </c>
      <c r="N256" s="211" t="str">
        <f ca="1">IF($D256&lt;&gt;"Serviço","",IF(AUTOEVENTO="Manual",IF($A256=0,"&lt;-- defina o número do agrupador",OFFSET(EVENTOS!$D$14,$A256,0)),OFFSET($F$15,$A256,0)))</f>
        <v>PINTURAS E TEXTURAS</v>
      </c>
      <c r="O256" s="212"/>
      <c r="Q256" s="212"/>
      <c r="R256" s="213"/>
      <c r="S256" s="213"/>
      <c r="T256" s="213"/>
      <c r="U256" s="213"/>
      <c r="V256" s="213"/>
      <c r="W256" s="213"/>
      <c r="X256" s="213"/>
      <c r="Y256" s="213"/>
      <c r="Z256" s="214"/>
      <c r="AB256" s="592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3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3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3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3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3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3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3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3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4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5">
        <f ca="1">IF($D256&lt;&gt;"Serviço",0,IF(AND(AUTOEVENTO="Manual",$M256=1),0,IF(OFFSET(CRONOPLE!$F$14,$M256,AM$13)="",10^12,OFFSET(CRONOPLE!$F$14,$M256,AM$13))))</f>
        <v>2</v>
      </c>
      <c r="AN256" s="215">
        <f ca="1">IF($D256&lt;&gt;"Serviço",0,IF(AND(AUTOEVENTO="Manual",$M256=1),0,IF(OFFSET(CRONOPLE!$F$14,$M256,AN$13)="",10^12,OFFSET(CRONOPLE!$F$14,$M256,AN$13))))</f>
        <v>2</v>
      </c>
      <c r="AO256" s="215">
        <f ca="1">IF($D256&lt;&gt;"Serviço",0,IF(AND(AUTOEVENTO="Manual",$M256=1),0,IF(OFFSET(CRONOPLE!$F$14,$M256,AO$13)="",10^12,OFFSET(CRONOPLE!$F$14,$M256,AO$13))))</f>
        <v>3</v>
      </c>
      <c r="AP256" s="215">
        <f ca="1">IF($D256&lt;&gt;"Serviço",0,IF(AND(AUTOEVENTO="Manual",$M256=1),0,IF(OFFSET(CRONOPLE!$F$14,$M256,AP$13)="",10^12,OFFSET(CRONOPLE!$F$14,$M256,AP$13))))</f>
        <v>1000000000000</v>
      </c>
      <c r="AQ256" s="215">
        <f ca="1">IF($D256&lt;&gt;"Serviço",0,IF(AND(AUTOEVENTO="Manual",$M256=1),0,IF(OFFSET(CRONOPLE!$F$14,$M256,AQ$13)="",10^12,OFFSET(CRONOPLE!$F$14,$M256,AQ$13))))</f>
        <v>1000000000000</v>
      </c>
      <c r="AR256" s="215">
        <f ca="1">IF($D256&lt;&gt;"Serviço",0,IF(AND(AUTOEVENTO="Manual",$M256=1),0,IF(OFFSET(CRONOPLE!$F$14,$M256,AR$13)="",10^12,OFFSET(CRONOPLE!$F$14,$M256,AR$13))))</f>
        <v>1000000000000</v>
      </c>
      <c r="AS256" s="215">
        <f ca="1">IF($D256&lt;&gt;"Serviço",0,IF(AND(AUTOEVENTO="Manual",$M256=1),0,IF(OFFSET(CRONOPLE!$F$14,$M256,AS$13)="",10^12,OFFSET(CRONOPLE!$F$14,$M256,AS$13))))</f>
        <v>1000000000000</v>
      </c>
      <c r="AT256" s="215">
        <f ca="1">IF($D256&lt;&gt;"Serviço",0,IF(AND(AUTOEVENTO="Manual",$M256=1),0,IF(OFFSET(CRONOPLE!$F$14,$M256,AT$13)="",10^12,OFFSET(CRONOPLE!$F$14,$M256,AT$13))))</f>
        <v>1000000000000</v>
      </c>
      <c r="AU256" s="215">
        <f ca="1">IF($D256&lt;&gt;"Serviço",0,IF(AND(AUTOEVENTO="Manual",$M256=1),0,IF(OFFSET(CRONOPLE!$F$14,$M256,AU$13)="",10^12,OFFSET(CRONOPLE!$F$14,$M256,AU$13))))</f>
        <v>1000000000000</v>
      </c>
      <c r="AV256" s="215">
        <f ca="1">IF($D256&lt;&gt;"Serviço",0,IF(AND(AUTOEVENTO="Manual",$M256=1),0,IF(OFFSET(CRONOPLE!$F$14,$M256,AV$13)="",10^12,OFFSET(CRONOPLE!$F$14,$M256,AV$13))))</f>
        <v>1000000000000</v>
      </c>
      <c r="AX256" s="216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6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6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6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6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6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6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6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6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6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37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5" t="str">
        <f ca="1">OFFSET(ORÇAMENTO!N$15,ROW(D257)-ROW(D$15),0)</f>
        <v>Serviço</v>
      </c>
      <c r="E257" s="205" t="str">
        <f ca="1">OFFSET(ORÇAMENTO!O$15,ROW(E257)-ROW(E$15),0)</f>
        <v>-</v>
      </c>
      <c r="F257" s="206" t="str">
        <f ca="1">OFFSET(ORÇAMENTO!R$15,ROW(F257)-ROW(F$15),0)</f>
        <v>(abra o arquivo 'Referência 05-2023.xls)</v>
      </c>
      <c r="G257" s="207" t="str">
        <f ca="1">IF($D257&lt;&gt;"Serviço","",OFFSET(ORÇAMENTO!S$15,ROW(G257)-ROW(G$15),0))</f>
        <v>-</v>
      </c>
      <c r="H257" s="151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1"/>
      <c r="K257" s="208"/>
      <c r="L257" s="209" t="s">
        <v>254</v>
      </c>
      <c r="M257" s="210">
        <f ca="1">IF($D257&lt;&gt;"Serviço","",IF(AUTOEVENTO="manual",$A257,IF(ISERROR(MATCH($A257,$A$15:OFFSET($A257,-1,0),0)),MAX($M$15:OFFSET(M257,-1,0))+1,INDEX($M$15:OFFSET(M257,-1,0),MATCH($A257,$A$15:OFFSET($A257,-1,0),0)))))</f>
        <v>5</v>
      </c>
      <c r="N257" s="211" t="str">
        <f ca="1">IF($D257&lt;&gt;"Serviço","",IF(AUTOEVENTO="Manual",IF($A257=0,"&lt;-- defina o número do agrupador",OFFSET(EVENTOS!$D$14,$A257,0)),OFFSET($F$15,$A257,0)))</f>
        <v>PINTURAS E TEXTURAS</v>
      </c>
      <c r="O257" s="212"/>
      <c r="Q257" s="212"/>
      <c r="R257" s="213"/>
      <c r="S257" s="213"/>
      <c r="T257" s="213"/>
      <c r="U257" s="213"/>
      <c r="V257" s="213"/>
      <c r="W257" s="213"/>
      <c r="X257" s="213"/>
      <c r="Y257" s="213"/>
      <c r="Z257" s="214"/>
      <c r="AB257" s="592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3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3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3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3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3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3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3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3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4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5">
        <f ca="1">IF($D257&lt;&gt;"Serviço",0,IF(AND(AUTOEVENTO="Manual",$M257=1),0,IF(OFFSET(CRONOPLE!$F$14,$M257,AM$13)="",10^12,OFFSET(CRONOPLE!$F$14,$M257,AM$13))))</f>
        <v>2</v>
      </c>
      <c r="AN257" s="215">
        <f ca="1">IF($D257&lt;&gt;"Serviço",0,IF(AND(AUTOEVENTO="Manual",$M257=1),0,IF(OFFSET(CRONOPLE!$F$14,$M257,AN$13)="",10^12,OFFSET(CRONOPLE!$F$14,$M257,AN$13))))</f>
        <v>2</v>
      </c>
      <c r="AO257" s="215">
        <f ca="1">IF($D257&lt;&gt;"Serviço",0,IF(AND(AUTOEVENTO="Manual",$M257=1),0,IF(OFFSET(CRONOPLE!$F$14,$M257,AO$13)="",10^12,OFFSET(CRONOPLE!$F$14,$M257,AO$13))))</f>
        <v>3</v>
      </c>
      <c r="AP257" s="215">
        <f ca="1">IF($D257&lt;&gt;"Serviço",0,IF(AND(AUTOEVENTO="Manual",$M257=1),0,IF(OFFSET(CRONOPLE!$F$14,$M257,AP$13)="",10^12,OFFSET(CRONOPLE!$F$14,$M257,AP$13))))</f>
        <v>1000000000000</v>
      </c>
      <c r="AQ257" s="215">
        <f ca="1">IF($D257&lt;&gt;"Serviço",0,IF(AND(AUTOEVENTO="Manual",$M257=1),0,IF(OFFSET(CRONOPLE!$F$14,$M257,AQ$13)="",10^12,OFFSET(CRONOPLE!$F$14,$M257,AQ$13))))</f>
        <v>1000000000000</v>
      </c>
      <c r="AR257" s="215">
        <f ca="1">IF($D257&lt;&gt;"Serviço",0,IF(AND(AUTOEVENTO="Manual",$M257=1),0,IF(OFFSET(CRONOPLE!$F$14,$M257,AR$13)="",10^12,OFFSET(CRONOPLE!$F$14,$M257,AR$13))))</f>
        <v>1000000000000</v>
      </c>
      <c r="AS257" s="215">
        <f ca="1">IF($D257&lt;&gt;"Serviço",0,IF(AND(AUTOEVENTO="Manual",$M257=1),0,IF(OFFSET(CRONOPLE!$F$14,$M257,AS$13)="",10^12,OFFSET(CRONOPLE!$F$14,$M257,AS$13))))</f>
        <v>1000000000000</v>
      </c>
      <c r="AT257" s="215">
        <f ca="1">IF($D257&lt;&gt;"Serviço",0,IF(AND(AUTOEVENTO="Manual",$M257=1),0,IF(OFFSET(CRONOPLE!$F$14,$M257,AT$13)="",10^12,OFFSET(CRONOPLE!$F$14,$M257,AT$13))))</f>
        <v>1000000000000</v>
      </c>
      <c r="AU257" s="215">
        <f ca="1">IF($D257&lt;&gt;"Serviço",0,IF(AND(AUTOEVENTO="Manual",$M257=1),0,IF(OFFSET(CRONOPLE!$F$14,$M257,AU$13)="",10^12,OFFSET(CRONOPLE!$F$14,$M257,AU$13))))</f>
        <v>1000000000000</v>
      </c>
      <c r="AV257" s="215">
        <f ca="1">IF($D257&lt;&gt;"Serviço",0,IF(AND(AUTOEVENTO="Manual",$M257=1),0,IF(OFFSET(CRONOPLE!$F$14,$M257,AV$13)="",10^12,OFFSET(CRONOPLE!$F$14,$M257,AV$13))))</f>
        <v>1000000000000</v>
      </c>
      <c r="AX257" s="216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6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6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6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6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6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6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6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6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6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37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5" t="str">
        <f ca="1">OFFSET(ORÇAMENTO!N$15,ROW(D258)-ROW(D$15),0)</f>
        <v>Serviço</v>
      </c>
      <c r="E258" s="205" t="str">
        <f ca="1">OFFSET(ORÇAMENTO!O$15,ROW(E258)-ROW(E$15),0)</f>
        <v>-</v>
      </c>
      <c r="F258" s="206" t="str">
        <f ca="1">OFFSET(ORÇAMENTO!R$15,ROW(F258)-ROW(F$15),0)</f>
        <v>(abra o arquivo 'Referência 05-2023.xls)</v>
      </c>
      <c r="G258" s="207" t="str">
        <f ca="1">IF($D258&lt;&gt;"Serviço","",OFFSET(ORÇAMENTO!S$15,ROW(G258)-ROW(G$15),0))</f>
        <v>-</v>
      </c>
      <c r="H258" s="151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1"/>
      <c r="K258" s="208"/>
      <c r="L258" s="209" t="s">
        <v>254</v>
      </c>
      <c r="M258" s="210">
        <f ca="1">IF($D258&lt;&gt;"Serviço","",IF(AUTOEVENTO="manual",$A258,IF(ISERROR(MATCH($A258,$A$15:OFFSET($A258,-1,0),0)),MAX($M$15:OFFSET(M258,-1,0))+1,INDEX($M$15:OFFSET(M258,-1,0),MATCH($A258,$A$15:OFFSET($A258,-1,0),0)))))</f>
        <v>5</v>
      </c>
      <c r="N258" s="211" t="str">
        <f ca="1">IF($D258&lt;&gt;"Serviço","",IF(AUTOEVENTO="Manual",IF($A258=0,"&lt;-- defina o número do agrupador",OFFSET(EVENTOS!$D$14,$A258,0)),OFFSET($F$15,$A258,0)))</f>
        <v>PINTURAS E TEXTURAS</v>
      </c>
      <c r="O258" s="212"/>
      <c r="Q258" s="212"/>
      <c r="R258" s="213"/>
      <c r="S258" s="213"/>
      <c r="T258" s="213"/>
      <c r="U258" s="213"/>
      <c r="V258" s="213"/>
      <c r="W258" s="213"/>
      <c r="X258" s="213"/>
      <c r="Y258" s="213"/>
      <c r="Z258" s="214"/>
      <c r="AB258" s="592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3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3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3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3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3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3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3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3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4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5">
        <f ca="1">IF($D258&lt;&gt;"Serviço",0,IF(AND(AUTOEVENTO="Manual",$M258=1),0,IF(OFFSET(CRONOPLE!$F$14,$M258,AM$13)="",10^12,OFFSET(CRONOPLE!$F$14,$M258,AM$13))))</f>
        <v>2</v>
      </c>
      <c r="AN258" s="215">
        <f ca="1">IF($D258&lt;&gt;"Serviço",0,IF(AND(AUTOEVENTO="Manual",$M258=1),0,IF(OFFSET(CRONOPLE!$F$14,$M258,AN$13)="",10^12,OFFSET(CRONOPLE!$F$14,$M258,AN$13))))</f>
        <v>2</v>
      </c>
      <c r="AO258" s="215">
        <f ca="1">IF($D258&lt;&gt;"Serviço",0,IF(AND(AUTOEVENTO="Manual",$M258=1),0,IF(OFFSET(CRONOPLE!$F$14,$M258,AO$13)="",10^12,OFFSET(CRONOPLE!$F$14,$M258,AO$13))))</f>
        <v>3</v>
      </c>
      <c r="AP258" s="215">
        <f ca="1">IF($D258&lt;&gt;"Serviço",0,IF(AND(AUTOEVENTO="Manual",$M258=1),0,IF(OFFSET(CRONOPLE!$F$14,$M258,AP$13)="",10^12,OFFSET(CRONOPLE!$F$14,$M258,AP$13))))</f>
        <v>1000000000000</v>
      </c>
      <c r="AQ258" s="215">
        <f ca="1">IF($D258&lt;&gt;"Serviço",0,IF(AND(AUTOEVENTO="Manual",$M258=1),0,IF(OFFSET(CRONOPLE!$F$14,$M258,AQ$13)="",10^12,OFFSET(CRONOPLE!$F$14,$M258,AQ$13))))</f>
        <v>1000000000000</v>
      </c>
      <c r="AR258" s="215">
        <f ca="1">IF($D258&lt;&gt;"Serviço",0,IF(AND(AUTOEVENTO="Manual",$M258=1),0,IF(OFFSET(CRONOPLE!$F$14,$M258,AR$13)="",10^12,OFFSET(CRONOPLE!$F$14,$M258,AR$13))))</f>
        <v>1000000000000</v>
      </c>
      <c r="AS258" s="215">
        <f ca="1">IF($D258&lt;&gt;"Serviço",0,IF(AND(AUTOEVENTO="Manual",$M258=1),0,IF(OFFSET(CRONOPLE!$F$14,$M258,AS$13)="",10^12,OFFSET(CRONOPLE!$F$14,$M258,AS$13))))</f>
        <v>1000000000000</v>
      </c>
      <c r="AT258" s="215">
        <f ca="1">IF($D258&lt;&gt;"Serviço",0,IF(AND(AUTOEVENTO="Manual",$M258=1),0,IF(OFFSET(CRONOPLE!$F$14,$M258,AT$13)="",10^12,OFFSET(CRONOPLE!$F$14,$M258,AT$13))))</f>
        <v>1000000000000</v>
      </c>
      <c r="AU258" s="215">
        <f ca="1">IF($D258&lt;&gt;"Serviço",0,IF(AND(AUTOEVENTO="Manual",$M258=1),0,IF(OFFSET(CRONOPLE!$F$14,$M258,AU$13)="",10^12,OFFSET(CRONOPLE!$F$14,$M258,AU$13))))</f>
        <v>1000000000000</v>
      </c>
      <c r="AV258" s="215">
        <f ca="1">IF($D258&lt;&gt;"Serviço",0,IF(AND(AUTOEVENTO="Manual",$M258=1),0,IF(OFFSET(CRONOPLE!$F$14,$M258,AV$13)="",10^12,OFFSET(CRONOPLE!$F$14,$M258,AV$13))))</f>
        <v>1000000000000</v>
      </c>
      <c r="AX258" s="216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6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6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6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6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6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6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6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6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6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37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5" t="str">
        <f ca="1">OFFSET(ORÇAMENTO!N$15,ROW(D259)-ROW(D$15),0)</f>
        <v>Serviço</v>
      </c>
      <c r="E259" s="205" t="str">
        <f ca="1">OFFSET(ORÇAMENTO!O$15,ROW(E259)-ROW(E$15),0)</f>
        <v>-</v>
      </c>
      <c r="F259" s="206" t="str">
        <f ca="1">OFFSET(ORÇAMENTO!R$15,ROW(F259)-ROW(F$15),0)</f>
        <v>(abra o arquivo 'Referência 05-2023.xls)</v>
      </c>
      <c r="G259" s="207" t="str">
        <f ca="1">IF($D259&lt;&gt;"Serviço","",OFFSET(ORÇAMENTO!S$15,ROW(G259)-ROW(G$15),0))</f>
        <v>-</v>
      </c>
      <c r="H259" s="151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1"/>
      <c r="K259" s="208"/>
      <c r="L259" s="209" t="s">
        <v>254</v>
      </c>
      <c r="M259" s="210">
        <f ca="1">IF($D259&lt;&gt;"Serviço","",IF(AUTOEVENTO="manual",$A259,IF(ISERROR(MATCH($A259,$A$15:OFFSET($A259,-1,0),0)),MAX($M$15:OFFSET(M259,-1,0))+1,INDEX($M$15:OFFSET(M259,-1,0),MATCH($A259,$A$15:OFFSET($A259,-1,0),0)))))</f>
        <v>5</v>
      </c>
      <c r="N259" s="211" t="str">
        <f ca="1">IF($D259&lt;&gt;"Serviço","",IF(AUTOEVENTO="Manual",IF($A259=0,"&lt;-- defina o número do agrupador",OFFSET(EVENTOS!$D$14,$A259,0)),OFFSET($F$15,$A259,0)))</f>
        <v>PINTURAS E TEXTURAS</v>
      </c>
      <c r="O259" s="212"/>
      <c r="Q259" s="212"/>
      <c r="R259" s="213"/>
      <c r="S259" s="213"/>
      <c r="T259" s="213"/>
      <c r="U259" s="213"/>
      <c r="V259" s="213"/>
      <c r="W259" s="213"/>
      <c r="X259" s="213"/>
      <c r="Y259" s="213"/>
      <c r="Z259" s="214"/>
      <c r="AB259" s="592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3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3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3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3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3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3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3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3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4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5">
        <f ca="1">IF($D259&lt;&gt;"Serviço",0,IF(AND(AUTOEVENTO="Manual",$M259=1),0,IF(OFFSET(CRONOPLE!$F$14,$M259,AM$13)="",10^12,OFFSET(CRONOPLE!$F$14,$M259,AM$13))))</f>
        <v>2</v>
      </c>
      <c r="AN259" s="215">
        <f ca="1">IF($D259&lt;&gt;"Serviço",0,IF(AND(AUTOEVENTO="Manual",$M259=1),0,IF(OFFSET(CRONOPLE!$F$14,$M259,AN$13)="",10^12,OFFSET(CRONOPLE!$F$14,$M259,AN$13))))</f>
        <v>2</v>
      </c>
      <c r="AO259" s="215">
        <f ca="1">IF($D259&lt;&gt;"Serviço",0,IF(AND(AUTOEVENTO="Manual",$M259=1),0,IF(OFFSET(CRONOPLE!$F$14,$M259,AO$13)="",10^12,OFFSET(CRONOPLE!$F$14,$M259,AO$13))))</f>
        <v>3</v>
      </c>
      <c r="AP259" s="215">
        <f ca="1">IF($D259&lt;&gt;"Serviço",0,IF(AND(AUTOEVENTO="Manual",$M259=1),0,IF(OFFSET(CRONOPLE!$F$14,$M259,AP$13)="",10^12,OFFSET(CRONOPLE!$F$14,$M259,AP$13))))</f>
        <v>1000000000000</v>
      </c>
      <c r="AQ259" s="215">
        <f ca="1">IF($D259&lt;&gt;"Serviço",0,IF(AND(AUTOEVENTO="Manual",$M259=1),0,IF(OFFSET(CRONOPLE!$F$14,$M259,AQ$13)="",10^12,OFFSET(CRONOPLE!$F$14,$M259,AQ$13))))</f>
        <v>1000000000000</v>
      </c>
      <c r="AR259" s="215">
        <f ca="1">IF($D259&lt;&gt;"Serviço",0,IF(AND(AUTOEVENTO="Manual",$M259=1),0,IF(OFFSET(CRONOPLE!$F$14,$M259,AR$13)="",10^12,OFFSET(CRONOPLE!$F$14,$M259,AR$13))))</f>
        <v>1000000000000</v>
      </c>
      <c r="AS259" s="215">
        <f ca="1">IF($D259&lt;&gt;"Serviço",0,IF(AND(AUTOEVENTO="Manual",$M259=1),0,IF(OFFSET(CRONOPLE!$F$14,$M259,AS$13)="",10^12,OFFSET(CRONOPLE!$F$14,$M259,AS$13))))</f>
        <v>1000000000000</v>
      </c>
      <c r="AT259" s="215">
        <f ca="1">IF($D259&lt;&gt;"Serviço",0,IF(AND(AUTOEVENTO="Manual",$M259=1),0,IF(OFFSET(CRONOPLE!$F$14,$M259,AT$13)="",10^12,OFFSET(CRONOPLE!$F$14,$M259,AT$13))))</f>
        <v>1000000000000</v>
      </c>
      <c r="AU259" s="215">
        <f ca="1">IF($D259&lt;&gt;"Serviço",0,IF(AND(AUTOEVENTO="Manual",$M259=1),0,IF(OFFSET(CRONOPLE!$F$14,$M259,AU$13)="",10^12,OFFSET(CRONOPLE!$F$14,$M259,AU$13))))</f>
        <v>1000000000000</v>
      </c>
      <c r="AV259" s="215">
        <f ca="1">IF($D259&lt;&gt;"Serviço",0,IF(AND(AUTOEVENTO="Manual",$M259=1),0,IF(OFFSET(CRONOPLE!$F$14,$M259,AV$13)="",10^12,OFFSET(CRONOPLE!$F$14,$M259,AV$13))))</f>
        <v>1000000000000</v>
      </c>
      <c r="AX259" s="216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6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6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6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6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6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6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6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6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6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37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5" t="str">
        <f ca="1">OFFSET(ORÇAMENTO!N$15,ROW(D260)-ROW(D$15),0)</f>
        <v>Serviço</v>
      </c>
      <c r="E260" s="205" t="str">
        <f ca="1">OFFSET(ORÇAMENTO!O$15,ROW(E260)-ROW(E$15),0)</f>
        <v>-</v>
      </c>
      <c r="F260" s="206" t="str">
        <f ca="1">OFFSET(ORÇAMENTO!R$15,ROW(F260)-ROW(F$15),0)</f>
        <v>(abra o arquivo 'Referência 05-2023.xls)</v>
      </c>
      <c r="G260" s="207" t="str">
        <f ca="1">IF($D260&lt;&gt;"Serviço","",OFFSET(ORÇAMENTO!S$15,ROW(G260)-ROW(G$15),0))</f>
        <v>-</v>
      </c>
      <c r="H260" s="151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1"/>
      <c r="K260" s="208"/>
      <c r="L260" s="209" t="s">
        <v>254</v>
      </c>
      <c r="M260" s="210">
        <f ca="1">IF($D260&lt;&gt;"Serviço","",IF(AUTOEVENTO="manual",$A260,IF(ISERROR(MATCH($A260,$A$15:OFFSET($A260,-1,0),0)),MAX($M$15:OFFSET(M260,-1,0))+1,INDEX($M$15:OFFSET(M260,-1,0),MATCH($A260,$A$15:OFFSET($A260,-1,0),0)))))</f>
        <v>5</v>
      </c>
      <c r="N260" s="211" t="str">
        <f ca="1">IF($D260&lt;&gt;"Serviço","",IF(AUTOEVENTO="Manual",IF($A260=0,"&lt;-- defina o número do agrupador",OFFSET(EVENTOS!$D$14,$A260,0)),OFFSET($F$15,$A260,0)))</f>
        <v>PINTURAS E TEXTURAS</v>
      </c>
      <c r="O260" s="212"/>
      <c r="Q260" s="212"/>
      <c r="R260" s="213"/>
      <c r="S260" s="213"/>
      <c r="T260" s="213"/>
      <c r="U260" s="213"/>
      <c r="V260" s="213"/>
      <c r="W260" s="213"/>
      <c r="X260" s="213"/>
      <c r="Y260" s="213"/>
      <c r="Z260" s="214"/>
      <c r="AB260" s="592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3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3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3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3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3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3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3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3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4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5">
        <f ca="1">IF($D260&lt;&gt;"Serviço",0,IF(AND(AUTOEVENTO="Manual",$M260=1),0,IF(OFFSET(CRONOPLE!$F$14,$M260,AM$13)="",10^12,OFFSET(CRONOPLE!$F$14,$M260,AM$13))))</f>
        <v>2</v>
      </c>
      <c r="AN260" s="215">
        <f ca="1">IF($D260&lt;&gt;"Serviço",0,IF(AND(AUTOEVENTO="Manual",$M260=1),0,IF(OFFSET(CRONOPLE!$F$14,$M260,AN$13)="",10^12,OFFSET(CRONOPLE!$F$14,$M260,AN$13))))</f>
        <v>2</v>
      </c>
      <c r="AO260" s="215">
        <f ca="1">IF($D260&lt;&gt;"Serviço",0,IF(AND(AUTOEVENTO="Manual",$M260=1),0,IF(OFFSET(CRONOPLE!$F$14,$M260,AO$13)="",10^12,OFFSET(CRONOPLE!$F$14,$M260,AO$13))))</f>
        <v>3</v>
      </c>
      <c r="AP260" s="215">
        <f ca="1">IF($D260&lt;&gt;"Serviço",0,IF(AND(AUTOEVENTO="Manual",$M260=1),0,IF(OFFSET(CRONOPLE!$F$14,$M260,AP$13)="",10^12,OFFSET(CRONOPLE!$F$14,$M260,AP$13))))</f>
        <v>1000000000000</v>
      </c>
      <c r="AQ260" s="215">
        <f ca="1">IF($D260&lt;&gt;"Serviço",0,IF(AND(AUTOEVENTO="Manual",$M260=1),0,IF(OFFSET(CRONOPLE!$F$14,$M260,AQ$13)="",10^12,OFFSET(CRONOPLE!$F$14,$M260,AQ$13))))</f>
        <v>1000000000000</v>
      </c>
      <c r="AR260" s="215">
        <f ca="1">IF($D260&lt;&gt;"Serviço",0,IF(AND(AUTOEVENTO="Manual",$M260=1),0,IF(OFFSET(CRONOPLE!$F$14,$M260,AR$13)="",10^12,OFFSET(CRONOPLE!$F$14,$M260,AR$13))))</f>
        <v>1000000000000</v>
      </c>
      <c r="AS260" s="215">
        <f ca="1">IF($D260&lt;&gt;"Serviço",0,IF(AND(AUTOEVENTO="Manual",$M260=1),0,IF(OFFSET(CRONOPLE!$F$14,$M260,AS$13)="",10^12,OFFSET(CRONOPLE!$F$14,$M260,AS$13))))</f>
        <v>1000000000000</v>
      </c>
      <c r="AT260" s="215">
        <f ca="1">IF($D260&lt;&gt;"Serviço",0,IF(AND(AUTOEVENTO="Manual",$M260=1),0,IF(OFFSET(CRONOPLE!$F$14,$M260,AT$13)="",10^12,OFFSET(CRONOPLE!$F$14,$M260,AT$13))))</f>
        <v>1000000000000</v>
      </c>
      <c r="AU260" s="215">
        <f ca="1">IF($D260&lt;&gt;"Serviço",0,IF(AND(AUTOEVENTO="Manual",$M260=1),0,IF(OFFSET(CRONOPLE!$F$14,$M260,AU$13)="",10^12,OFFSET(CRONOPLE!$F$14,$M260,AU$13))))</f>
        <v>1000000000000</v>
      </c>
      <c r="AV260" s="215">
        <f ca="1">IF($D260&lt;&gt;"Serviço",0,IF(AND(AUTOEVENTO="Manual",$M260=1),0,IF(OFFSET(CRONOPLE!$F$14,$M260,AV$13)="",10^12,OFFSET(CRONOPLE!$F$14,$M260,AV$13))))</f>
        <v>1000000000000</v>
      </c>
      <c r="AX260" s="216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6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6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6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6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6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6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6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6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6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37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5" t="str">
        <f ca="1">OFFSET(ORÇAMENTO!N$15,ROW(D261)-ROW(D$15),0)</f>
        <v>Serviço</v>
      </c>
      <c r="E261" s="205" t="str">
        <f ca="1">OFFSET(ORÇAMENTO!O$15,ROW(E261)-ROW(E$15),0)</f>
        <v>-</v>
      </c>
      <c r="F261" s="206" t="str">
        <f ca="1">OFFSET(ORÇAMENTO!R$15,ROW(F261)-ROW(F$15),0)</f>
        <v>(abra o arquivo 'Referência 05-2023.xls)</v>
      </c>
      <c r="G261" s="207" t="str">
        <f ca="1">IF($D261&lt;&gt;"Serviço","",OFFSET(ORÇAMENTO!S$15,ROW(G261)-ROW(G$15),0))</f>
        <v>-</v>
      </c>
      <c r="H261" s="151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1"/>
      <c r="K261" s="208"/>
      <c r="L261" s="209" t="s">
        <v>254</v>
      </c>
      <c r="M261" s="210">
        <f ca="1">IF($D261&lt;&gt;"Serviço","",IF(AUTOEVENTO="manual",$A261,IF(ISERROR(MATCH($A261,$A$15:OFFSET($A261,-1,0),0)),MAX($M$15:OFFSET(M261,-1,0))+1,INDEX($M$15:OFFSET(M261,-1,0),MATCH($A261,$A$15:OFFSET($A261,-1,0),0)))))</f>
        <v>5</v>
      </c>
      <c r="N261" s="211" t="str">
        <f ca="1">IF($D261&lt;&gt;"Serviço","",IF(AUTOEVENTO="Manual",IF($A261=0,"&lt;-- defina o número do agrupador",OFFSET(EVENTOS!$D$14,$A261,0)),OFFSET($F$15,$A261,0)))</f>
        <v>PINTURAS E TEXTURAS</v>
      </c>
      <c r="O261" s="212"/>
      <c r="Q261" s="212"/>
      <c r="R261" s="213"/>
      <c r="S261" s="213"/>
      <c r="T261" s="213"/>
      <c r="U261" s="213"/>
      <c r="V261" s="213"/>
      <c r="W261" s="213"/>
      <c r="X261" s="213"/>
      <c r="Y261" s="213"/>
      <c r="Z261" s="214"/>
      <c r="AB261" s="592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3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3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3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3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3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3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3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3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4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5">
        <f ca="1">IF($D261&lt;&gt;"Serviço",0,IF(AND(AUTOEVENTO="Manual",$M261=1),0,IF(OFFSET(CRONOPLE!$F$14,$M261,AM$13)="",10^12,OFFSET(CRONOPLE!$F$14,$M261,AM$13))))</f>
        <v>2</v>
      </c>
      <c r="AN261" s="215">
        <f ca="1">IF($D261&lt;&gt;"Serviço",0,IF(AND(AUTOEVENTO="Manual",$M261=1),0,IF(OFFSET(CRONOPLE!$F$14,$M261,AN$13)="",10^12,OFFSET(CRONOPLE!$F$14,$M261,AN$13))))</f>
        <v>2</v>
      </c>
      <c r="AO261" s="215">
        <f ca="1">IF($D261&lt;&gt;"Serviço",0,IF(AND(AUTOEVENTO="Manual",$M261=1),0,IF(OFFSET(CRONOPLE!$F$14,$M261,AO$13)="",10^12,OFFSET(CRONOPLE!$F$14,$M261,AO$13))))</f>
        <v>3</v>
      </c>
      <c r="AP261" s="215">
        <f ca="1">IF($D261&lt;&gt;"Serviço",0,IF(AND(AUTOEVENTO="Manual",$M261=1),0,IF(OFFSET(CRONOPLE!$F$14,$M261,AP$13)="",10^12,OFFSET(CRONOPLE!$F$14,$M261,AP$13))))</f>
        <v>1000000000000</v>
      </c>
      <c r="AQ261" s="215">
        <f ca="1">IF($D261&lt;&gt;"Serviço",0,IF(AND(AUTOEVENTO="Manual",$M261=1),0,IF(OFFSET(CRONOPLE!$F$14,$M261,AQ$13)="",10^12,OFFSET(CRONOPLE!$F$14,$M261,AQ$13))))</f>
        <v>1000000000000</v>
      </c>
      <c r="AR261" s="215">
        <f ca="1">IF($D261&lt;&gt;"Serviço",0,IF(AND(AUTOEVENTO="Manual",$M261=1),0,IF(OFFSET(CRONOPLE!$F$14,$M261,AR$13)="",10^12,OFFSET(CRONOPLE!$F$14,$M261,AR$13))))</f>
        <v>1000000000000</v>
      </c>
      <c r="AS261" s="215">
        <f ca="1">IF($D261&lt;&gt;"Serviço",0,IF(AND(AUTOEVENTO="Manual",$M261=1),0,IF(OFFSET(CRONOPLE!$F$14,$M261,AS$13)="",10^12,OFFSET(CRONOPLE!$F$14,$M261,AS$13))))</f>
        <v>1000000000000</v>
      </c>
      <c r="AT261" s="215">
        <f ca="1">IF($D261&lt;&gt;"Serviço",0,IF(AND(AUTOEVENTO="Manual",$M261=1),0,IF(OFFSET(CRONOPLE!$F$14,$M261,AT$13)="",10^12,OFFSET(CRONOPLE!$F$14,$M261,AT$13))))</f>
        <v>1000000000000</v>
      </c>
      <c r="AU261" s="215">
        <f ca="1">IF($D261&lt;&gt;"Serviço",0,IF(AND(AUTOEVENTO="Manual",$M261=1),0,IF(OFFSET(CRONOPLE!$F$14,$M261,AU$13)="",10^12,OFFSET(CRONOPLE!$F$14,$M261,AU$13))))</f>
        <v>1000000000000</v>
      </c>
      <c r="AV261" s="215">
        <f ca="1">IF($D261&lt;&gt;"Serviço",0,IF(AND(AUTOEVENTO="Manual",$M261=1),0,IF(OFFSET(CRONOPLE!$F$14,$M261,AV$13)="",10^12,OFFSET(CRONOPLE!$F$14,$M261,AV$13))))</f>
        <v>1000000000000</v>
      </c>
      <c r="AX261" s="216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6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6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6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6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6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6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6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6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6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37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5" t="str">
        <f ca="1">OFFSET(ORÇAMENTO!N$15,ROW(D262)-ROW(D$15),0)</f>
        <v>Serviço</v>
      </c>
      <c r="E262" s="205" t="str">
        <f ca="1">OFFSET(ORÇAMENTO!O$15,ROW(E262)-ROW(E$15),0)</f>
        <v>-</v>
      </c>
      <c r="F262" s="206" t="str">
        <f ca="1">OFFSET(ORÇAMENTO!R$15,ROW(F262)-ROW(F$15),0)</f>
        <v>(abra o arquivo 'Referência 05-2023.xls)</v>
      </c>
      <c r="G262" s="207" t="str">
        <f ca="1">IF($D262&lt;&gt;"Serviço","",OFFSET(ORÇAMENTO!S$15,ROW(G262)-ROW(G$15),0))</f>
        <v>-</v>
      </c>
      <c r="H262" s="151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1"/>
      <c r="K262" s="208"/>
      <c r="L262" s="209" t="s">
        <v>254</v>
      </c>
      <c r="M262" s="210">
        <f ca="1">IF($D262&lt;&gt;"Serviço","",IF(AUTOEVENTO="manual",$A262,IF(ISERROR(MATCH($A262,$A$15:OFFSET($A262,-1,0),0)),MAX($M$15:OFFSET(M262,-1,0))+1,INDEX($M$15:OFFSET(M262,-1,0),MATCH($A262,$A$15:OFFSET($A262,-1,0),0)))))</f>
        <v>5</v>
      </c>
      <c r="N262" s="211" t="str">
        <f ca="1">IF($D262&lt;&gt;"Serviço","",IF(AUTOEVENTO="Manual",IF($A262=0,"&lt;-- defina o número do agrupador",OFFSET(EVENTOS!$D$14,$A262,0)),OFFSET($F$15,$A262,0)))</f>
        <v>PINTURAS E TEXTURAS</v>
      </c>
      <c r="O262" s="212"/>
      <c r="Q262" s="212"/>
      <c r="R262" s="213"/>
      <c r="S262" s="213"/>
      <c r="T262" s="213"/>
      <c r="U262" s="213"/>
      <c r="V262" s="213"/>
      <c r="W262" s="213"/>
      <c r="X262" s="213"/>
      <c r="Y262" s="213"/>
      <c r="Z262" s="214"/>
      <c r="AB262" s="592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3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3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3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3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3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3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3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3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4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5">
        <f ca="1">IF($D262&lt;&gt;"Serviço",0,IF(AND(AUTOEVENTO="Manual",$M262=1),0,IF(OFFSET(CRONOPLE!$F$14,$M262,AM$13)="",10^12,OFFSET(CRONOPLE!$F$14,$M262,AM$13))))</f>
        <v>2</v>
      </c>
      <c r="AN262" s="215">
        <f ca="1">IF($D262&lt;&gt;"Serviço",0,IF(AND(AUTOEVENTO="Manual",$M262=1),0,IF(OFFSET(CRONOPLE!$F$14,$M262,AN$13)="",10^12,OFFSET(CRONOPLE!$F$14,$M262,AN$13))))</f>
        <v>2</v>
      </c>
      <c r="AO262" s="215">
        <f ca="1">IF($D262&lt;&gt;"Serviço",0,IF(AND(AUTOEVENTO="Manual",$M262=1),0,IF(OFFSET(CRONOPLE!$F$14,$M262,AO$13)="",10^12,OFFSET(CRONOPLE!$F$14,$M262,AO$13))))</f>
        <v>3</v>
      </c>
      <c r="AP262" s="215">
        <f ca="1">IF($D262&lt;&gt;"Serviço",0,IF(AND(AUTOEVENTO="Manual",$M262=1),0,IF(OFFSET(CRONOPLE!$F$14,$M262,AP$13)="",10^12,OFFSET(CRONOPLE!$F$14,$M262,AP$13))))</f>
        <v>1000000000000</v>
      </c>
      <c r="AQ262" s="215">
        <f ca="1">IF($D262&lt;&gt;"Serviço",0,IF(AND(AUTOEVENTO="Manual",$M262=1),0,IF(OFFSET(CRONOPLE!$F$14,$M262,AQ$13)="",10^12,OFFSET(CRONOPLE!$F$14,$M262,AQ$13))))</f>
        <v>1000000000000</v>
      </c>
      <c r="AR262" s="215">
        <f ca="1">IF($D262&lt;&gt;"Serviço",0,IF(AND(AUTOEVENTO="Manual",$M262=1),0,IF(OFFSET(CRONOPLE!$F$14,$M262,AR$13)="",10^12,OFFSET(CRONOPLE!$F$14,$M262,AR$13))))</f>
        <v>1000000000000</v>
      </c>
      <c r="AS262" s="215">
        <f ca="1">IF($D262&lt;&gt;"Serviço",0,IF(AND(AUTOEVENTO="Manual",$M262=1),0,IF(OFFSET(CRONOPLE!$F$14,$M262,AS$13)="",10^12,OFFSET(CRONOPLE!$F$14,$M262,AS$13))))</f>
        <v>1000000000000</v>
      </c>
      <c r="AT262" s="215">
        <f ca="1">IF($D262&lt;&gt;"Serviço",0,IF(AND(AUTOEVENTO="Manual",$M262=1),0,IF(OFFSET(CRONOPLE!$F$14,$M262,AT$13)="",10^12,OFFSET(CRONOPLE!$F$14,$M262,AT$13))))</f>
        <v>1000000000000</v>
      </c>
      <c r="AU262" s="215">
        <f ca="1">IF($D262&lt;&gt;"Serviço",0,IF(AND(AUTOEVENTO="Manual",$M262=1),0,IF(OFFSET(CRONOPLE!$F$14,$M262,AU$13)="",10^12,OFFSET(CRONOPLE!$F$14,$M262,AU$13))))</f>
        <v>1000000000000</v>
      </c>
      <c r="AV262" s="215">
        <f ca="1">IF($D262&lt;&gt;"Serviço",0,IF(AND(AUTOEVENTO="Manual",$M262=1),0,IF(OFFSET(CRONOPLE!$F$14,$M262,AV$13)="",10^12,OFFSET(CRONOPLE!$F$14,$M262,AV$13))))</f>
        <v>1000000000000</v>
      </c>
      <c r="AX262" s="216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6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6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6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6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6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6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6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6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6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37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5" t="str">
        <f ca="1">OFFSET(ORÇAMENTO!N$15,ROW(D263)-ROW(D$15),0)</f>
        <v>Serviço</v>
      </c>
      <c r="E263" s="205" t="str">
        <f ca="1">OFFSET(ORÇAMENTO!O$15,ROW(E263)-ROW(E$15),0)</f>
        <v>-</v>
      </c>
      <c r="F263" s="206" t="str">
        <f ca="1">OFFSET(ORÇAMENTO!R$15,ROW(F263)-ROW(F$15),0)</f>
        <v>(abra o arquivo 'Referência 05-2023.xls)</v>
      </c>
      <c r="G263" s="207" t="str">
        <f ca="1">IF($D263&lt;&gt;"Serviço","",OFFSET(ORÇAMENTO!S$15,ROW(G263)-ROW(G$15),0))</f>
        <v>-</v>
      </c>
      <c r="H263" s="151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1"/>
      <c r="K263" s="208"/>
      <c r="L263" s="209" t="s">
        <v>254</v>
      </c>
      <c r="M263" s="210">
        <f ca="1">IF($D263&lt;&gt;"Serviço","",IF(AUTOEVENTO="manual",$A263,IF(ISERROR(MATCH($A263,$A$15:OFFSET($A263,-1,0),0)),MAX($M$15:OFFSET(M263,-1,0))+1,INDEX($M$15:OFFSET(M263,-1,0),MATCH($A263,$A$15:OFFSET($A263,-1,0),0)))))</f>
        <v>5</v>
      </c>
      <c r="N263" s="211" t="str">
        <f ca="1">IF($D263&lt;&gt;"Serviço","",IF(AUTOEVENTO="Manual",IF($A263=0,"&lt;-- defina o número do agrupador",OFFSET(EVENTOS!$D$14,$A263,0)),OFFSET($F$15,$A263,0)))</f>
        <v>PINTURAS E TEXTURAS</v>
      </c>
      <c r="O263" s="212"/>
      <c r="Q263" s="212"/>
      <c r="R263" s="213"/>
      <c r="S263" s="213"/>
      <c r="T263" s="213"/>
      <c r="U263" s="213"/>
      <c r="V263" s="213"/>
      <c r="W263" s="213"/>
      <c r="X263" s="213"/>
      <c r="Y263" s="213"/>
      <c r="Z263" s="214"/>
      <c r="AB263" s="592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3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3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3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3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3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3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3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3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4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5">
        <f ca="1">IF($D263&lt;&gt;"Serviço",0,IF(AND(AUTOEVENTO="Manual",$M263=1),0,IF(OFFSET(CRONOPLE!$F$14,$M263,AM$13)="",10^12,OFFSET(CRONOPLE!$F$14,$M263,AM$13))))</f>
        <v>2</v>
      </c>
      <c r="AN263" s="215">
        <f ca="1">IF($D263&lt;&gt;"Serviço",0,IF(AND(AUTOEVENTO="Manual",$M263=1),0,IF(OFFSET(CRONOPLE!$F$14,$M263,AN$13)="",10^12,OFFSET(CRONOPLE!$F$14,$M263,AN$13))))</f>
        <v>2</v>
      </c>
      <c r="AO263" s="215">
        <f ca="1">IF($D263&lt;&gt;"Serviço",0,IF(AND(AUTOEVENTO="Manual",$M263=1),0,IF(OFFSET(CRONOPLE!$F$14,$M263,AO$13)="",10^12,OFFSET(CRONOPLE!$F$14,$M263,AO$13))))</f>
        <v>3</v>
      </c>
      <c r="AP263" s="215">
        <f ca="1">IF($D263&lt;&gt;"Serviço",0,IF(AND(AUTOEVENTO="Manual",$M263=1),0,IF(OFFSET(CRONOPLE!$F$14,$M263,AP$13)="",10^12,OFFSET(CRONOPLE!$F$14,$M263,AP$13))))</f>
        <v>1000000000000</v>
      </c>
      <c r="AQ263" s="215">
        <f ca="1">IF($D263&lt;&gt;"Serviço",0,IF(AND(AUTOEVENTO="Manual",$M263=1),0,IF(OFFSET(CRONOPLE!$F$14,$M263,AQ$13)="",10^12,OFFSET(CRONOPLE!$F$14,$M263,AQ$13))))</f>
        <v>1000000000000</v>
      </c>
      <c r="AR263" s="215">
        <f ca="1">IF($D263&lt;&gt;"Serviço",0,IF(AND(AUTOEVENTO="Manual",$M263=1),0,IF(OFFSET(CRONOPLE!$F$14,$M263,AR$13)="",10^12,OFFSET(CRONOPLE!$F$14,$M263,AR$13))))</f>
        <v>1000000000000</v>
      </c>
      <c r="AS263" s="215">
        <f ca="1">IF($D263&lt;&gt;"Serviço",0,IF(AND(AUTOEVENTO="Manual",$M263=1),0,IF(OFFSET(CRONOPLE!$F$14,$M263,AS$13)="",10^12,OFFSET(CRONOPLE!$F$14,$M263,AS$13))))</f>
        <v>1000000000000</v>
      </c>
      <c r="AT263" s="215">
        <f ca="1">IF($D263&lt;&gt;"Serviço",0,IF(AND(AUTOEVENTO="Manual",$M263=1),0,IF(OFFSET(CRONOPLE!$F$14,$M263,AT$13)="",10^12,OFFSET(CRONOPLE!$F$14,$M263,AT$13))))</f>
        <v>1000000000000</v>
      </c>
      <c r="AU263" s="215">
        <f ca="1">IF($D263&lt;&gt;"Serviço",0,IF(AND(AUTOEVENTO="Manual",$M263=1),0,IF(OFFSET(CRONOPLE!$F$14,$M263,AU$13)="",10^12,OFFSET(CRONOPLE!$F$14,$M263,AU$13))))</f>
        <v>1000000000000</v>
      </c>
      <c r="AV263" s="215">
        <f ca="1">IF($D263&lt;&gt;"Serviço",0,IF(AND(AUTOEVENTO="Manual",$M263=1),0,IF(OFFSET(CRONOPLE!$F$14,$M263,AV$13)="",10^12,OFFSET(CRONOPLE!$F$14,$M263,AV$13))))</f>
        <v>1000000000000</v>
      </c>
      <c r="AX263" s="216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6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6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6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6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6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6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6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6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6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37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5" t="str">
        <f ca="1">OFFSET(ORÇAMENTO!N$15,ROW(D264)-ROW(D$15),0)</f>
        <v>Serviço</v>
      </c>
      <c r="E264" s="205" t="str">
        <f ca="1">OFFSET(ORÇAMENTO!O$15,ROW(E264)-ROW(E$15),0)</f>
        <v>-</v>
      </c>
      <c r="F264" s="206" t="str">
        <f ca="1">OFFSET(ORÇAMENTO!R$15,ROW(F264)-ROW(F$15),0)</f>
        <v>(abra o arquivo 'Referência 05-2023.xls)</v>
      </c>
      <c r="G264" s="207" t="str">
        <f ca="1">IF($D264&lt;&gt;"Serviço","",OFFSET(ORÇAMENTO!S$15,ROW(G264)-ROW(G$15),0))</f>
        <v>-</v>
      </c>
      <c r="H264" s="151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1"/>
      <c r="K264" s="208"/>
      <c r="L264" s="209" t="s">
        <v>254</v>
      </c>
      <c r="M264" s="210">
        <f ca="1">IF($D264&lt;&gt;"Serviço","",IF(AUTOEVENTO="manual",$A264,IF(ISERROR(MATCH($A264,$A$15:OFFSET($A264,-1,0),0)),MAX($M$15:OFFSET(M264,-1,0))+1,INDEX($M$15:OFFSET(M264,-1,0),MATCH($A264,$A$15:OFFSET($A264,-1,0),0)))))</f>
        <v>5</v>
      </c>
      <c r="N264" s="211" t="str">
        <f ca="1">IF($D264&lt;&gt;"Serviço","",IF(AUTOEVENTO="Manual",IF($A264=0,"&lt;-- defina o número do agrupador",OFFSET(EVENTOS!$D$14,$A264,0)),OFFSET($F$15,$A264,0)))</f>
        <v>PINTURAS E TEXTURAS</v>
      </c>
      <c r="O264" s="212"/>
      <c r="Q264" s="212"/>
      <c r="R264" s="213"/>
      <c r="S264" s="213"/>
      <c r="T264" s="213"/>
      <c r="U264" s="213"/>
      <c r="V264" s="213"/>
      <c r="W264" s="213"/>
      <c r="X264" s="213"/>
      <c r="Y264" s="213"/>
      <c r="Z264" s="214"/>
      <c r="AB264" s="592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3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3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3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3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3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3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3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3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4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5">
        <f ca="1">IF($D264&lt;&gt;"Serviço",0,IF(AND(AUTOEVENTO="Manual",$M264=1),0,IF(OFFSET(CRONOPLE!$F$14,$M264,AM$13)="",10^12,OFFSET(CRONOPLE!$F$14,$M264,AM$13))))</f>
        <v>2</v>
      </c>
      <c r="AN264" s="215">
        <f ca="1">IF($D264&lt;&gt;"Serviço",0,IF(AND(AUTOEVENTO="Manual",$M264=1),0,IF(OFFSET(CRONOPLE!$F$14,$M264,AN$13)="",10^12,OFFSET(CRONOPLE!$F$14,$M264,AN$13))))</f>
        <v>2</v>
      </c>
      <c r="AO264" s="215">
        <f ca="1">IF($D264&lt;&gt;"Serviço",0,IF(AND(AUTOEVENTO="Manual",$M264=1),0,IF(OFFSET(CRONOPLE!$F$14,$M264,AO$13)="",10^12,OFFSET(CRONOPLE!$F$14,$M264,AO$13))))</f>
        <v>3</v>
      </c>
      <c r="AP264" s="215">
        <f ca="1">IF($D264&lt;&gt;"Serviço",0,IF(AND(AUTOEVENTO="Manual",$M264=1),0,IF(OFFSET(CRONOPLE!$F$14,$M264,AP$13)="",10^12,OFFSET(CRONOPLE!$F$14,$M264,AP$13))))</f>
        <v>1000000000000</v>
      </c>
      <c r="AQ264" s="215">
        <f ca="1">IF($D264&lt;&gt;"Serviço",0,IF(AND(AUTOEVENTO="Manual",$M264=1),0,IF(OFFSET(CRONOPLE!$F$14,$M264,AQ$13)="",10^12,OFFSET(CRONOPLE!$F$14,$M264,AQ$13))))</f>
        <v>1000000000000</v>
      </c>
      <c r="AR264" s="215">
        <f ca="1">IF($D264&lt;&gt;"Serviço",0,IF(AND(AUTOEVENTO="Manual",$M264=1),0,IF(OFFSET(CRONOPLE!$F$14,$M264,AR$13)="",10^12,OFFSET(CRONOPLE!$F$14,$M264,AR$13))))</f>
        <v>1000000000000</v>
      </c>
      <c r="AS264" s="215">
        <f ca="1">IF($D264&lt;&gt;"Serviço",0,IF(AND(AUTOEVENTO="Manual",$M264=1),0,IF(OFFSET(CRONOPLE!$F$14,$M264,AS$13)="",10^12,OFFSET(CRONOPLE!$F$14,$M264,AS$13))))</f>
        <v>1000000000000</v>
      </c>
      <c r="AT264" s="215">
        <f ca="1">IF($D264&lt;&gt;"Serviço",0,IF(AND(AUTOEVENTO="Manual",$M264=1),0,IF(OFFSET(CRONOPLE!$F$14,$M264,AT$13)="",10^12,OFFSET(CRONOPLE!$F$14,$M264,AT$13))))</f>
        <v>1000000000000</v>
      </c>
      <c r="AU264" s="215">
        <f ca="1">IF($D264&lt;&gt;"Serviço",0,IF(AND(AUTOEVENTO="Manual",$M264=1),0,IF(OFFSET(CRONOPLE!$F$14,$M264,AU$13)="",10^12,OFFSET(CRONOPLE!$F$14,$M264,AU$13))))</f>
        <v>1000000000000</v>
      </c>
      <c r="AV264" s="215">
        <f ca="1">IF($D264&lt;&gt;"Serviço",0,IF(AND(AUTOEVENTO="Manual",$M264=1),0,IF(OFFSET(CRONOPLE!$F$14,$M264,AV$13)="",10^12,OFFSET(CRONOPLE!$F$14,$M264,AV$13))))</f>
        <v>1000000000000</v>
      </c>
      <c r="AX264" s="216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6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6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6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6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6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6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6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6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6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37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5" t="str">
        <f ca="1">OFFSET(ORÇAMENTO!N$15,ROW(D265)-ROW(D$15),0)</f>
        <v>Serviço</v>
      </c>
      <c r="E265" s="205" t="str">
        <f ca="1">OFFSET(ORÇAMENTO!O$15,ROW(E265)-ROW(E$15),0)</f>
        <v>-</v>
      </c>
      <c r="F265" s="206" t="str">
        <f ca="1">OFFSET(ORÇAMENTO!R$15,ROW(F265)-ROW(F$15),0)</f>
        <v>(abra o arquivo 'Referência 05-2023.xls)</v>
      </c>
      <c r="G265" s="207" t="str">
        <f ca="1">IF($D265&lt;&gt;"Serviço","",OFFSET(ORÇAMENTO!S$15,ROW(G265)-ROW(G$15),0))</f>
        <v>-</v>
      </c>
      <c r="H265" s="151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1"/>
      <c r="K265" s="208"/>
      <c r="L265" s="209" t="s">
        <v>254</v>
      </c>
      <c r="M265" s="210">
        <f ca="1">IF($D265&lt;&gt;"Serviço","",IF(AUTOEVENTO="manual",$A265,IF(ISERROR(MATCH($A265,$A$15:OFFSET($A265,-1,0),0)),MAX($M$15:OFFSET(M265,-1,0))+1,INDEX($M$15:OFFSET(M265,-1,0),MATCH($A265,$A$15:OFFSET($A265,-1,0),0)))))</f>
        <v>5</v>
      </c>
      <c r="N265" s="211" t="str">
        <f ca="1">IF($D265&lt;&gt;"Serviço","",IF(AUTOEVENTO="Manual",IF($A265=0,"&lt;-- defina o número do agrupador",OFFSET(EVENTOS!$D$14,$A265,0)),OFFSET($F$15,$A265,0)))</f>
        <v>PINTURAS E TEXTURAS</v>
      </c>
      <c r="O265" s="212"/>
      <c r="Q265" s="212"/>
      <c r="R265" s="213"/>
      <c r="S265" s="213"/>
      <c r="T265" s="213"/>
      <c r="U265" s="213"/>
      <c r="V265" s="213"/>
      <c r="W265" s="213"/>
      <c r="X265" s="213"/>
      <c r="Y265" s="213"/>
      <c r="Z265" s="214"/>
      <c r="AB265" s="592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3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3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3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3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3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3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3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3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4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5">
        <f ca="1">IF($D265&lt;&gt;"Serviço",0,IF(AND(AUTOEVENTO="Manual",$M265=1),0,IF(OFFSET(CRONOPLE!$F$14,$M265,AM$13)="",10^12,OFFSET(CRONOPLE!$F$14,$M265,AM$13))))</f>
        <v>2</v>
      </c>
      <c r="AN265" s="215">
        <f ca="1">IF($D265&lt;&gt;"Serviço",0,IF(AND(AUTOEVENTO="Manual",$M265=1),0,IF(OFFSET(CRONOPLE!$F$14,$M265,AN$13)="",10^12,OFFSET(CRONOPLE!$F$14,$M265,AN$13))))</f>
        <v>2</v>
      </c>
      <c r="AO265" s="215">
        <f ca="1">IF($D265&lt;&gt;"Serviço",0,IF(AND(AUTOEVENTO="Manual",$M265=1),0,IF(OFFSET(CRONOPLE!$F$14,$M265,AO$13)="",10^12,OFFSET(CRONOPLE!$F$14,$M265,AO$13))))</f>
        <v>3</v>
      </c>
      <c r="AP265" s="215">
        <f ca="1">IF($D265&lt;&gt;"Serviço",0,IF(AND(AUTOEVENTO="Manual",$M265=1),0,IF(OFFSET(CRONOPLE!$F$14,$M265,AP$13)="",10^12,OFFSET(CRONOPLE!$F$14,$M265,AP$13))))</f>
        <v>1000000000000</v>
      </c>
      <c r="AQ265" s="215">
        <f ca="1">IF($D265&lt;&gt;"Serviço",0,IF(AND(AUTOEVENTO="Manual",$M265=1),0,IF(OFFSET(CRONOPLE!$F$14,$M265,AQ$13)="",10^12,OFFSET(CRONOPLE!$F$14,$M265,AQ$13))))</f>
        <v>1000000000000</v>
      </c>
      <c r="AR265" s="215">
        <f ca="1">IF($D265&lt;&gt;"Serviço",0,IF(AND(AUTOEVENTO="Manual",$M265=1),0,IF(OFFSET(CRONOPLE!$F$14,$M265,AR$13)="",10^12,OFFSET(CRONOPLE!$F$14,$M265,AR$13))))</f>
        <v>1000000000000</v>
      </c>
      <c r="AS265" s="215">
        <f ca="1">IF($D265&lt;&gt;"Serviço",0,IF(AND(AUTOEVENTO="Manual",$M265=1),0,IF(OFFSET(CRONOPLE!$F$14,$M265,AS$13)="",10^12,OFFSET(CRONOPLE!$F$14,$M265,AS$13))))</f>
        <v>1000000000000</v>
      </c>
      <c r="AT265" s="215">
        <f ca="1">IF($D265&lt;&gt;"Serviço",0,IF(AND(AUTOEVENTO="Manual",$M265=1),0,IF(OFFSET(CRONOPLE!$F$14,$M265,AT$13)="",10^12,OFFSET(CRONOPLE!$F$14,$M265,AT$13))))</f>
        <v>1000000000000</v>
      </c>
      <c r="AU265" s="215">
        <f ca="1">IF($D265&lt;&gt;"Serviço",0,IF(AND(AUTOEVENTO="Manual",$M265=1),0,IF(OFFSET(CRONOPLE!$F$14,$M265,AU$13)="",10^12,OFFSET(CRONOPLE!$F$14,$M265,AU$13))))</f>
        <v>1000000000000</v>
      </c>
      <c r="AV265" s="215">
        <f ca="1">IF($D265&lt;&gt;"Serviço",0,IF(AND(AUTOEVENTO="Manual",$M265=1),0,IF(OFFSET(CRONOPLE!$F$14,$M265,AV$13)="",10^12,OFFSET(CRONOPLE!$F$14,$M265,AV$13))))</f>
        <v>1000000000000</v>
      </c>
      <c r="AX265" s="216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6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6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6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6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6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6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6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6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6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2" t="s">
        <v>193</v>
      </c>
      <c r="E266" s="533"/>
      <c r="F266" s="534"/>
      <c r="G266" s="534"/>
      <c r="H266" s="534"/>
      <c r="I266" s="535"/>
      <c r="J266" s="176"/>
      <c r="K266" s="538"/>
      <c r="L266" s="531" t="s">
        <v>254</v>
      </c>
      <c r="M266" s="539"/>
      <c r="N266" s="536"/>
      <c r="O266" s="530"/>
      <c r="P266" s="176"/>
      <c r="Q266" s="537"/>
      <c r="R266" s="534"/>
      <c r="S266" s="534"/>
      <c r="T266" s="534"/>
      <c r="U266" s="534"/>
      <c r="V266" s="534"/>
      <c r="W266" s="534"/>
      <c r="X266" s="534"/>
      <c r="Y266" s="534"/>
      <c r="Z266" s="535"/>
      <c r="AA266" s="176"/>
      <c r="AB266" s="167"/>
      <c r="AC266" s="226"/>
      <c r="AD266" s="226"/>
      <c r="AE266" s="226"/>
      <c r="AF266" s="226"/>
      <c r="AG266" s="226"/>
      <c r="AH266" s="226"/>
      <c r="AI266" s="226"/>
      <c r="AJ266" s="226"/>
      <c r="AK266" s="168"/>
      <c r="AM266" s="167"/>
      <c r="AN266" s="226"/>
      <c r="AO266" s="226"/>
      <c r="AP266" s="226"/>
      <c r="AQ266" s="226"/>
      <c r="AR266" s="226"/>
      <c r="AS266" s="226"/>
      <c r="AT266" s="226"/>
      <c r="AU266" s="226"/>
      <c r="AV266" s="168"/>
      <c r="AX266" s="167"/>
      <c r="AY266" s="226"/>
      <c r="AZ266" s="226"/>
      <c r="BA266" s="226"/>
      <c r="BB266" s="226"/>
      <c r="BC266" s="226"/>
      <c r="BD266" s="226"/>
      <c r="BE266" s="226"/>
      <c r="BF266" s="226"/>
      <c r="BG266" s="168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7" t="str">
        <f>Import.Município</f>
        <v>CÉU AZUL/PR</v>
      </c>
      <c r="I270" s="601"/>
      <c r="J270" s="601"/>
      <c r="K270" s="601"/>
      <c r="L270" s="601"/>
      <c r="M270" s="602"/>
      <c r="N270" s="527"/>
      <c r="T270" s="175"/>
      <c r="U270" s="175"/>
      <c r="V270" s="228"/>
      <c r="W270" s="228"/>
      <c r="X270" s="228"/>
      <c r="Y270" s="228"/>
    </row>
    <row r="271" spans="1:59" ht="12.75" customHeight="1" x14ac:dyDescent="0.2">
      <c r="F271" s="12" t="s">
        <v>187</v>
      </c>
      <c r="I271" s="229" t="s">
        <v>189</v>
      </c>
      <c r="J271" s="229"/>
      <c r="K271" s="229"/>
      <c r="L271" s="229"/>
      <c r="T271" s="229" t="s">
        <v>189</v>
      </c>
      <c r="U271" s="229"/>
    </row>
    <row r="272" spans="1:59" ht="12.75" customHeight="1" x14ac:dyDescent="0.2">
      <c r="F272" s="104"/>
      <c r="I272" s="603" t="str">
        <f t="array" aca="1" ref="I272:I274" ca="1">OFFSET(Import.RespOrçamento,0,-1) &amp; " " &amp; Import.RespOrçamento</f>
        <v>Nome: GIAN CARLOS BORTOLINI VALLI</v>
      </c>
      <c r="K272" s="96"/>
      <c r="L272" s="96"/>
      <c r="T272" s="603" t="str">
        <f t="array" aca="1" ref="T272:T274" ca="1">OFFSET(Import.RespOrçamento,0,-1) &amp; " " &amp; Import.RespOrçamento</f>
        <v>Nome: GIAN CARLOS BORTOLINI VALLI</v>
      </c>
      <c r="U272" s="95"/>
    </row>
    <row r="273" spans="3:21" ht="12.75" customHeight="1" x14ac:dyDescent="0.2">
      <c r="F273" s="600">
        <f>DADOS!$F$25</f>
        <v>45146</v>
      </c>
      <c r="I273" s="603" t="str">
        <f ca="1"/>
        <v>CREA/CAU: CREA 163755/D</v>
      </c>
      <c r="K273" s="96"/>
      <c r="L273" s="96"/>
      <c r="T273" s="603" t="str">
        <f ca="1"/>
        <v>CREA/CAU: CREA 163755/D</v>
      </c>
      <c r="U273" s="95"/>
    </row>
    <row r="274" spans="3:21" ht="12.75" customHeight="1" x14ac:dyDescent="0.2">
      <c r="F274" s="177" t="s">
        <v>188</v>
      </c>
      <c r="I274" s="603" t="str">
        <f ca="1"/>
        <v xml:space="preserve">ART/RRT: </v>
      </c>
      <c r="K274" s="96"/>
      <c r="L274" s="96"/>
      <c r="T274" s="603" t="str">
        <f ca="1"/>
        <v xml:space="preserve">ART/RRT: </v>
      </c>
      <c r="U274" s="95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 activeCell="F19" sqref="F19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2" t="s">
        <v>263</v>
      </c>
    </row>
    <row r="4" spans="2:6" x14ac:dyDescent="0.2">
      <c r="C4" t="s">
        <v>264</v>
      </c>
    </row>
    <row r="6" spans="2:6" x14ac:dyDescent="0.2">
      <c r="C6" s="712" t="s">
        <v>445</v>
      </c>
      <c r="D6" s="712"/>
      <c r="E6" s="712"/>
      <c r="F6" s="712"/>
    </row>
    <row r="8" spans="2:6" ht="33.75" customHeight="1" x14ac:dyDescent="0.2"/>
    <row r="9" spans="2:6" ht="12" customHeight="1" x14ac:dyDescent="0.2">
      <c r="C9" s="713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3"/>
      <c r="E9" s="713"/>
      <c r="F9" s="713"/>
    </row>
    <row r="10" spans="2:6" ht="12" customHeight="1" x14ac:dyDescent="0.2">
      <c r="C10" s="713"/>
      <c r="D10" s="713"/>
      <c r="E10" s="713"/>
      <c r="F10" s="713"/>
    </row>
    <row r="11" spans="2:6" ht="12" customHeight="1" x14ac:dyDescent="0.2">
      <c r="C11" s="713"/>
      <c r="D11" s="713"/>
      <c r="E11" s="713"/>
      <c r="F11" s="713"/>
    </row>
    <row r="12" spans="2:6" ht="12" customHeight="1" x14ac:dyDescent="0.2"/>
    <row r="13" spans="2:6" ht="15" x14ac:dyDescent="0.25">
      <c r="C13" s="230" t="s">
        <v>265</v>
      </c>
      <c r="D13" s="714" t="s">
        <v>266</v>
      </c>
      <c r="E13" s="714"/>
      <c r="F13" s="231" t="s">
        <v>267</v>
      </c>
    </row>
    <row r="14" spans="2:6" hidden="1" x14ac:dyDescent="0.2">
      <c r="B14" t="e">
        <f ca="1">CONCATENATE(C14,".",D14)</f>
        <v>#VALUE!</v>
      </c>
      <c r="C14" s="232" t="e">
        <f ca="1">OFFSET(C14,-1,0)+1</f>
        <v>#VALUE!</v>
      </c>
      <c r="D14" s="711"/>
      <c r="E14" s="711"/>
      <c r="F14" s="233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4">
        <v>1</v>
      </c>
      <c r="D15" s="715" t="s">
        <v>268</v>
      </c>
      <c r="E15" s="715"/>
      <c r="F15" s="235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2">
        <f t="shared" ref="C16:C64" ca="1" si="1">OFFSET(C16,-1,0)+1</f>
        <v>2</v>
      </c>
      <c r="D16" s="711"/>
      <c r="E16" s="711"/>
      <c r="F16" s="233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2">
        <f t="shared" ca="1" si="1"/>
        <v>3</v>
      </c>
      <c r="D17" s="711"/>
      <c r="E17" s="711"/>
      <c r="F17" s="233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2">
        <f t="shared" ca="1" si="1"/>
        <v>4</v>
      </c>
      <c r="D18" s="711"/>
      <c r="E18" s="711"/>
      <c r="F18" s="233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2">
        <f t="shared" ca="1" si="1"/>
        <v>5</v>
      </c>
      <c r="D19" s="711"/>
      <c r="E19" s="711"/>
      <c r="F19" s="233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2">
        <f t="shared" ca="1" si="1"/>
        <v>6</v>
      </c>
      <c r="D20" s="711"/>
      <c r="E20" s="711"/>
      <c r="F20" s="233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2">
        <f t="shared" ca="1" si="1"/>
        <v>7</v>
      </c>
      <c r="D21" s="711"/>
      <c r="E21" s="711"/>
      <c r="F21" s="233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2">
        <f t="shared" ca="1" si="1"/>
        <v>8</v>
      </c>
      <c r="D22" s="711"/>
      <c r="E22" s="711"/>
      <c r="F22" s="233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2">
        <f t="shared" ca="1" si="1"/>
        <v>9</v>
      </c>
      <c r="D23" s="711"/>
      <c r="E23" s="711"/>
      <c r="F23" s="233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2">
        <f t="shared" ca="1" si="1"/>
        <v>10</v>
      </c>
      <c r="D24" s="711"/>
      <c r="E24" s="711"/>
      <c r="F24" s="233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2">
        <f t="shared" ca="1" si="1"/>
        <v>11</v>
      </c>
      <c r="D25" s="711"/>
      <c r="E25" s="711"/>
      <c r="F25" s="233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2">
        <f t="shared" ca="1" si="1"/>
        <v>12</v>
      </c>
      <c r="D26" s="711"/>
      <c r="E26" s="711"/>
      <c r="F26" s="233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2">
        <f t="shared" ca="1" si="1"/>
        <v>13</v>
      </c>
      <c r="D27" s="711"/>
      <c r="E27" s="711"/>
      <c r="F27" s="233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2">
        <f t="shared" ca="1" si="1"/>
        <v>14</v>
      </c>
      <c r="D28" s="711"/>
      <c r="E28" s="711"/>
      <c r="F28" s="233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2">
        <f t="shared" ca="1" si="1"/>
        <v>15</v>
      </c>
      <c r="D29" s="711"/>
      <c r="E29" s="711"/>
      <c r="F29" s="233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2">
        <f t="shared" ca="1" si="1"/>
        <v>16</v>
      </c>
      <c r="D30" s="711"/>
      <c r="E30" s="711"/>
      <c r="F30" s="233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2">
        <f t="shared" ca="1" si="1"/>
        <v>17</v>
      </c>
      <c r="D31" s="711"/>
      <c r="E31" s="711"/>
      <c r="F31" s="233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2">
        <f t="shared" ca="1" si="1"/>
        <v>18</v>
      </c>
      <c r="D32" s="711"/>
      <c r="E32" s="711"/>
      <c r="F32" s="233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2">
        <f t="shared" ca="1" si="1"/>
        <v>19</v>
      </c>
      <c r="D33" s="711"/>
      <c r="E33" s="711"/>
      <c r="F33" s="233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2">
        <f t="shared" ca="1" si="1"/>
        <v>20</v>
      </c>
      <c r="D34" s="711"/>
      <c r="E34" s="711"/>
      <c r="F34" s="233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2">
        <f t="shared" ca="1" si="1"/>
        <v>21</v>
      </c>
      <c r="D35" s="711"/>
      <c r="E35" s="711"/>
      <c r="F35" s="233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2">
        <f t="shared" ca="1" si="1"/>
        <v>22</v>
      </c>
      <c r="D36" s="711"/>
      <c r="E36" s="711"/>
      <c r="F36" s="233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2">
        <f t="shared" ca="1" si="1"/>
        <v>23</v>
      </c>
      <c r="D37" s="711"/>
      <c r="E37" s="711"/>
      <c r="F37" s="233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2">
        <f t="shared" ca="1" si="1"/>
        <v>24</v>
      </c>
      <c r="D38" s="711"/>
      <c r="E38" s="711"/>
      <c r="F38" s="233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2">
        <f t="shared" ca="1" si="1"/>
        <v>25</v>
      </c>
      <c r="D39" s="711"/>
      <c r="E39" s="711"/>
      <c r="F39" s="233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2">
        <f t="shared" ca="1" si="1"/>
        <v>26</v>
      </c>
      <c r="D40" s="711"/>
      <c r="E40" s="711"/>
      <c r="F40" s="233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2">
        <f t="shared" ca="1" si="1"/>
        <v>27</v>
      </c>
      <c r="D41" s="711"/>
      <c r="E41" s="711"/>
      <c r="F41" s="233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2">
        <f t="shared" ca="1" si="1"/>
        <v>28</v>
      </c>
      <c r="D42" s="711"/>
      <c r="E42" s="711"/>
      <c r="F42" s="233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2">
        <f t="shared" ca="1" si="1"/>
        <v>29</v>
      </c>
      <c r="D43" s="711"/>
      <c r="E43" s="711"/>
      <c r="F43" s="233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2">
        <f t="shared" ca="1" si="1"/>
        <v>30</v>
      </c>
      <c r="D44" s="711"/>
      <c r="E44" s="711"/>
      <c r="F44" s="233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2">
        <f t="shared" ca="1" si="1"/>
        <v>31</v>
      </c>
      <c r="D45" s="711"/>
      <c r="E45" s="711"/>
      <c r="F45" s="233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2">
        <f t="shared" ca="1" si="1"/>
        <v>32</v>
      </c>
      <c r="D46" s="711"/>
      <c r="E46" s="711"/>
      <c r="F46" s="233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2">
        <f t="shared" ca="1" si="1"/>
        <v>33</v>
      </c>
      <c r="D47" s="711"/>
      <c r="E47" s="711"/>
      <c r="F47" s="233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2">
        <f t="shared" ca="1" si="1"/>
        <v>34</v>
      </c>
      <c r="D48" s="711"/>
      <c r="E48" s="711"/>
      <c r="F48" s="233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2">
        <f t="shared" ca="1" si="1"/>
        <v>35</v>
      </c>
      <c r="D49" s="711"/>
      <c r="E49" s="711"/>
      <c r="F49" s="233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2">
        <f t="shared" ca="1" si="1"/>
        <v>36</v>
      </c>
      <c r="D50" s="711"/>
      <c r="E50" s="711"/>
      <c r="F50" s="233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2">
        <f t="shared" ca="1" si="1"/>
        <v>37</v>
      </c>
      <c r="D51" s="711"/>
      <c r="E51" s="711"/>
      <c r="F51" s="233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2">
        <f t="shared" ca="1" si="1"/>
        <v>38</v>
      </c>
      <c r="D52" s="711"/>
      <c r="E52" s="711"/>
      <c r="F52" s="233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2">
        <f t="shared" ca="1" si="1"/>
        <v>39</v>
      </c>
      <c r="D53" s="711"/>
      <c r="E53" s="711"/>
      <c r="F53" s="233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2">
        <f t="shared" ca="1" si="1"/>
        <v>40</v>
      </c>
      <c r="D54" s="711"/>
      <c r="E54" s="711"/>
      <c r="F54" s="233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2">
        <f t="shared" ca="1" si="1"/>
        <v>41</v>
      </c>
      <c r="D55" s="711"/>
      <c r="E55" s="711"/>
      <c r="F55" s="233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2">
        <f t="shared" ca="1" si="1"/>
        <v>42</v>
      </c>
      <c r="D56" s="711"/>
      <c r="E56" s="711"/>
      <c r="F56" s="233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2">
        <f t="shared" ca="1" si="1"/>
        <v>43</v>
      </c>
      <c r="D57" s="711"/>
      <c r="E57" s="711"/>
      <c r="F57" s="233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2">
        <f t="shared" ca="1" si="1"/>
        <v>44</v>
      </c>
      <c r="D58" s="711"/>
      <c r="E58" s="711"/>
      <c r="F58" s="233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2">
        <f t="shared" ca="1" si="1"/>
        <v>45</v>
      </c>
      <c r="D59" s="711"/>
      <c r="E59" s="711"/>
      <c r="F59" s="233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2">
        <f t="shared" ca="1" si="1"/>
        <v>46</v>
      </c>
      <c r="D60" s="711"/>
      <c r="E60" s="711"/>
      <c r="F60" s="233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2">
        <f t="shared" ca="1" si="1"/>
        <v>47</v>
      </c>
      <c r="D61" s="711"/>
      <c r="E61" s="711"/>
      <c r="F61" s="233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2">
        <f t="shared" ca="1" si="1"/>
        <v>48</v>
      </c>
      <c r="D62" s="711"/>
      <c r="E62" s="711"/>
      <c r="F62" s="233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2">
        <f t="shared" ca="1" si="1"/>
        <v>49</v>
      </c>
      <c r="D63" s="711"/>
      <c r="E63" s="711"/>
      <c r="F63" s="233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2">
        <f t="shared" ca="1" si="1"/>
        <v>50</v>
      </c>
      <c r="D64" s="711"/>
      <c r="E64" s="711"/>
      <c r="F64" s="233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5"/>
      <c r="D65" s="236"/>
      <c r="E65" s="236"/>
      <c r="F65" s="237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V21" sqref="V21"/>
    </sheetView>
  </sheetViews>
  <sheetFormatPr defaultRowHeight="12.75" x14ac:dyDescent="0.2"/>
  <cols>
    <col min="1" max="3" width="9.140625" style="238" hidden="1" customWidth="1"/>
    <col min="4" max="4" width="11" style="239" hidden="1" customWidth="1"/>
    <col min="5" max="5" width="19" style="238" hidden="1" customWidth="1"/>
    <col min="6" max="6" width="3.7109375" style="239" customWidth="1"/>
    <col min="7" max="7" width="12.7109375" style="238" customWidth="1"/>
    <col min="8" max="8" width="7.140625" style="239" customWidth="1"/>
    <col min="9" max="9" width="12.7109375" style="239" customWidth="1"/>
    <col min="10" max="10" width="14" style="239" customWidth="1"/>
    <col min="11" max="11" width="11" style="239" customWidth="1"/>
    <col min="12" max="17" width="0" style="238" hidden="1" customWidth="1"/>
    <col min="18" max="18" width="11.42578125" style="240" customWidth="1"/>
    <col min="19" max="19" width="10.7109375" style="240" customWidth="1"/>
    <col min="20" max="31" width="11" style="239" customWidth="1"/>
    <col min="32" max="32" width="0.140625" style="239" customWidth="1"/>
    <col min="33" max="16384" width="9.140625" style="239"/>
  </cols>
  <sheetData>
    <row r="1" spans="1:32" hidden="1" x14ac:dyDescent="0.2">
      <c r="A1" s="238" t="e">
        <f ca="1">OFFSET(A1,-3,0)+1</f>
        <v>#REF!</v>
      </c>
      <c r="B1" s="238" t="e">
        <f ca="1">IF($Q1&lt;&gt;2,0,IF($R1=0,1,IF(E2&gt;0,OFFSET(QCI!$M$13,SUBSTITUTE(E2,".",""),0),OFFSET(ORÇAMENTO!$AA$15,CRONO!$E1,0))/$R1))</f>
        <v>#REF!</v>
      </c>
      <c r="C1" s="238" t="e">
        <f ca="1">IF($Q1&lt;&gt;2,0,IF($R1=0,1,IF(E2&gt;0,OFFSET(QCI!$N$13,SUBSTITUTE(E2,".",""),0),OFFSET(ORÇAMENTO!$AB$15,CRONO!$E1,0))/$R1))</f>
        <v>#REF!</v>
      </c>
      <c r="D1" s="241" t="e">
        <f ca="1">IF(AND($Q1=2,ACOMPANHAMENTO="BM"),D2,D3/$R1)</f>
        <v>#REF!</v>
      </c>
      <c r="E1" s="238" t="e">
        <f ca="1">IF(A1&lt;=ORÇAMENTO.MáximoListaCrono,MATCH(A1,ORÇAMENTO.ListaCrono,0),NA())</f>
        <v>#REF!</v>
      </c>
      <c r="F1" s="238" t="e">
        <f ca="1">IF(AND($E2&lt;&gt;-1,$R1&gt;0),"F","")</f>
        <v>#REF!</v>
      </c>
      <c r="G1" s="242" t="e">
        <f ca="1">IF(OR(R1=0,R1=""),"Linha",IF(AND(OR(ACOMPANHAMENTO="PLE",$Q1&lt;&gt;2),$E2=0),"Linha",1-SUM(T1:AF1)))</f>
        <v>#REF!</v>
      </c>
      <c r="H1" s="243" t="e">
        <f ca="1">IF($E2=0,OFFSET(ORÇAMENTO!O$15,$E1,0),IF($E2&lt;&gt;-1,OFFSET(QCI!$D$13,$E2,0),""))</f>
        <v>#REF!</v>
      </c>
      <c r="I1" s="244" t="e">
        <f ca="1">IF($E2=0,OFFSET(ORÇAMENTO!R$15,$E1,0),IF($E2&lt;&gt;-1,OFFSET(QCI!$G$13,$E2,0),""))</f>
        <v>#REF!</v>
      </c>
      <c r="J1" s="244"/>
      <c r="K1" s="244"/>
      <c r="L1" s="245" t="e">
        <f ca="1">IF($E2=0,OFFSET(ORÇAMENTO!C$15,$E1,0),1)</f>
        <v>#REF!</v>
      </c>
      <c r="M1" s="246" t="e">
        <f ca="1">IF($E2=-1,0,IF(M$13&lt;=$L1,IF(ISERROR(MATCH(M$13,OFFSET($L1,1,0,ROW($L$164)-ROW($L1)-1),0)),ROW($L$164)-ROW($L1)-1,MATCH(M$13,OFFSET($L1,1,0,ROW($L$164)-ROW($L1)-1),0)-1),0))</f>
        <v>#REF!</v>
      </c>
      <c r="N1" s="246" t="e">
        <f ca="1">IF($E2=-1,0,IF(N$13&lt;=$L1,IF(ISERROR(MATCH(N$13,OFFSET($L1,1,0,ROW($L$164)-ROW($L1)-1),0)),ROW($L$164)-ROW($L1)-1,MATCH(N$13,OFFSET($L1,1,0,ROW($L$164)-ROW($L1)-1),0)-1),0))</f>
        <v>#REF!</v>
      </c>
      <c r="O1" s="246" t="e">
        <f ca="1">IF($E2=-1,0,IF(O$13&lt;=$L1,IF(ISERROR(MATCH(O$13,OFFSET($L1,1,0,ROW($L$164)-ROW($L1)-1),0)),ROW($L$164)-ROW($L1)-1,MATCH(O$13,OFFSET($L1,1,0,ROW($L$164)-ROW($L1)-1),0)-1),0))</f>
        <v>#REF!</v>
      </c>
      <c r="P1" s="246" t="e">
        <f ca="1">IF($E2=-1,0,IF(P$13&lt;=$L1,IF(ISERROR(MATCH(P$13,OFFSET($L1,1,0,ROW($L$164)-ROW($L1)-1),0)),ROW($L$164)-ROW($L1)-1,MATCH(P$13,OFFSET($L1,1,0,ROW($L$164)-ROW($L1)-1),0)-1),0))</f>
        <v>#REF!</v>
      </c>
      <c r="Q1" s="246" t="e">
        <f ca="1">MIN(OFFSET(L1,0,1,,L1))</f>
        <v>#REF!</v>
      </c>
      <c r="R1" s="247" t="e">
        <f ca="1">IF($E2=0,OFFSET(ORÇAMENTO!X$15,$E1,0),IF($E2&lt;&gt;-1,OFFSET(QCI!$O$13,$E2,0),""))</f>
        <v>#REF!</v>
      </c>
      <c r="S1" s="248" t="s">
        <v>269</v>
      </c>
      <c r="T1" s="249" t="e">
        <f t="shared" ref="T1:AE1" ca="1" si="0">IF(AND($Q1=2,ACOMPANHAMENTO="BM"),T2,T3/$R1)</f>
        <v>#REF!</v>
      </c>
      <c r="U1" s="241" t="e">
        <f t="shared" ca="1" si="0"/>
        <v>#REF!</v>
      </c>
      <c r="V1" s="241" t="e">
        <f t="shared" ca="1" si="0"/>
        <v>#REF!</v>
      </c>
      <c r="W1" s="241" t="e">
        <f t="shared" ca="1" si="0"/>
        <v>#REF!</v>
      </c>
      <c r="X1" s="241" t="e">
        <f t="shared" ca="1" si="0"/>
        <v>#REF!</v>
      </c>
      <c r="Y1" s="241" t="e">
        <f t="shared" ca="1" si="0"/>
        <v>#REF!</v>
      </c>
      <c r="Z1" s="241" t="e">
        <f t="shared" ca="1" si="0"/>
        <v>#REF!</v>
      </c>
      <c r="AA1" s="241" t="e">
        <f t="shared" ca="1" si="0"/>
        <v>#REF!</v>
      </c>
      <c r="AB1" s="241" t="e">
        <f t="shared" ca="1" si="0"/>
        <v>#REF!</v>
      </c>
      <c r="AC1" s="241" t="e">
        <f t="shared" ca="1" si="0"/>
        <v>#REF!</v>
      </c>
      <c r="AD1" s="241" t="e">
        <f t="shared" ca="1" si="0"/>
        <v>#REF!</v>
      </c>
      <c r="AE1" s="250" t="e">
        <f t="shared" ca="1" si="0"/>
        <v>#REF!</v>
      </c>
    </row>
    <row r="2" spans="1:32" ht="12.75" hidden="1" customHeight="1" x14ac:dyDescent="0.2">
      <c r="D2" s="619"/>
      <c r="E2" s="238" t="e">
        <f ca="1">IF(ISERROR(E1),IF(1+COUNTIF($L$13:OFFSET(L1,-1,0),1)&lt;=MAX(QCI!$D$13:$D$24),1+COUNTIF($L$13:OFFSET(L1,-1,0),1),-1),0)</f>
        <v>#REF!</v>
      </c>
      <c r="F2" s="238" t="e">
        <f ca="1">IF(AND($E2&lt;&gt;-1,$R1&gt;0),"F","")</f>
        <v>#REF!</v>
      </c>
      <c r="G2" s="251" t="e">
        <f ca="1">IF(OR(R1=0,R1=""),"vazia",IF(AND(OR(ACOMPANHAMENTO="PLE",$Q1&lt;&gt;2),$E2=0),"calculada","--&gt;"))</f>
        <v>#REF!</v>
      </c>
      <c r="H2" s="252"/>
      <c r="I2" s="253" t="e">
        <f ca="1">IF(AND(G1&lt;&gt;0,ISNUMBER(G1)),"PREENCHA ESTA LINHA --&gt;","")</f>
        <v>#REF!</v>
      </c>
      <c r="J2" s="253"/>
      <c r="K2" s="253"/>
      <c r="L2" s="254"/>
      <c r="M2" s="254"/>
      <c r="N2" s="254"/>
      <c r="O2" s="254"/>
      <c r="P2" s="254"/>
      <c r="Q2" s="254"/>
      <c r="R2" s="255"/>
      <c r="S2" s="256"/>
      <c r="T2" s="620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21"/>
      <c r="AF2" s="579"/>
    </row>
    <row r="3" spans="1:32" ht="0.2" hidden="1" customHeight="1" x14ac:dyDescent="0.2">
      <c r="D3" s="257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8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8"/>
      <c r="R3" s="259" t="e">
        <f ca="1">L1&amp;"$"</f>
        <v>#REF!</v>
      </c>
      <c r="S3" s="260"/>
      <c r="T3" s="261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7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7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7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7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7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7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7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7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7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7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2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4" t="str">
        <f>IF(TIPOORCAMENTO="licitado","CRONOGRAMA FÍSICO-FINANCEIRO LICITADO","CRONOGRAMA FÍSICO-FINANCEIRO")</f>
        <v>CRONOGRAMA FÍSICO-FINANCEIRO</v>
      </c>
      <c r="AD4" s="688" t="s">
        <v>139</v>
      </c>
      <c r="AE4" s="688"/>
    </row>
    <row r="5" spans="1:32" ht="15" x14ac:dyDescent="0.2">
      <c r="R5" s="106" t="str">
        <f>import.recurso</f>
        <v>(SELECIONAR)</v>
      </c>
      <c r="AD5" s="689" t="s">
        <v>142</v>
      </c>
      <c r="AE5" s="689"/>
    </row>
    <row r="6" spans="1:32" ht="12.75" customHeight="1" x14ac:dyDescent="0.2">
      <c r="D6" s="264"/>
      <c r="H6" s="264"/>
      <c r="I6" s="264"/>
      <c r="J6" s="264"/>
      <c r="K6" s="264"/>
      <c r="L6" s="265"/>
      <c r="M6" s="265"/>
      <c r="N6" s="265"/>
      <c r="O6" s="265"/>
      <c r="P6" s="265"/>
      <c r="Q6" s="265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</row>
    <row r="7" spans="1:32" ht="12.75" customHeight="1" x14ac:dyDescent="0.2">
      <c r="D7" s="264"/>
      <c r="E7" s="266"/>
      <c r="G7" s="723" t="s">
        <v>270</v>
      </c>
      <c r="H7" s="267" t="s">
        <v>438</v>
      </c>
      <c r="I7" s="268"/>
      <c r="J7" s="269" t="s">
        <v>439</v>
      </c>
      <c r="K7" s="270" t="s">
        <v>271</v>
      </c>
      <c r="L7" s="264"/>
      <c r="M7" s="264"/>
      <c r="N7" s="264"/>
      <c r="O7" s="265"/>
      <c r="P7" s="265"/>
      <c r="Q7" s="265"/>
      <c r="S7" s="271"/>
      <c r="T7" s="267" t="s">
        <v>272</v>
      </c>
      <c r="U7" s="264"/>
      <c r="V7" s="264"/>
      <c r="W7" s="264"/>
      <c r="X7" s="268"/>
      <c r="Y7" s="267" t="str">
        <f>IF(TIPOORCAMENTO="Licitado","NOME DA EMPRESA","DESCRIÇÃO DO LOTE")</f>
        <v>DESCRIÇÃO DO LOTE</v>
      </c>
      <c r="Z7" s="264"/>
      <c r="AA7" s="264"/>
      <c r="AB7" s="264"/>
      <c r="AC7" s="264"/>
      <c r="AD7" s="264"/>
      <c r="AE7" s="272" t="str">
        <f>IF(TIPOORCAMENTO="Licitado","Nº CTEF","")</f>
        <v/>
      </c>
    </row>
    <row r="8" spans="1:32" x14ac:dyDescent="0.2">
      <c r="D8" s="238"/>
      <c r="E8" s="143"/>
      <c r="F8" s="677" t="s">
        <v>208</v>
      </c>
      <c r="G8" s="723"/>
      <c r="H8" s="721">
        <f>Import.CR</f>
        <v>0</v>
      </c>
      <c r="I8" s="721"/>
      <c r="J8" s="273">
        <f>Import.SICONV</f>
        <v>0</v>
      </c>
      <c r="K8" s="720" t="str">
        <f>Import.Proponente</f>
        <v>MUNICIPIO DE CÉU AZUL</v>
      </c>
      <c r="L8" s="720"/>
      <c r="M8" s="720"/>
      <c r="N8" s="720"/>
      <c r="O8" s="720"/>
      <c r="P8" s="720"/>
      <c r="Q8" s="720"/>
      <c r="R8" s="720"/>
      <c r="S8" s="720"/>
      <c r="T8" s="721" t="str">
        <f>Import.Apelido</f>
        <v>PAÇO MUNICIPAL</v>
      </c>
      <c r="U8" s="721"/>
      <c r="V8" s="721"/>
      <c r="W8" s="721"/>
      <c r="X8" s="721"/>
      <c r="Y8" s="717" t="str">
        <f>IF(TIPOORCAMENTO="Licitado",Import.empresa,Import.DescLote)</f>
        <v>REFORMA DO PAÇO MUNICIPAL</v>
      </c>
      <c r="Z8" s="717"/>
      <c r="AA8" s="717"/>
      <c r="AB8" s="717"/>
      <c r="AC8" s="717"/>
      <c r="AD8" s="717"/>
      <c r="AE8" s="274" t="str">
        <f>IF(TIPOORCAMENTO="Licitado",Import.CTEF,"")</f>
        <v/>
      </c>
    </row>
    <row r="9" spans="1:32" x14ac:dyDescent="0.2">
      <c r="E9" s="143"/>
      <c r="F9" s="677"/>
      <c r="G9" s="723"/>
    </row>
    <row r="10" spans="1:32" x14ac:dyDescent="0.2">
      <c r="E10" s="266"/>
      <c r="F10" s="677"/>
      <c r="G10" s="275">
        <v>4</v>
      </c>
      <c r="J10" s="722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2"/>
      <c r="L10" s="722"/>
      <c r="M10" s="722"/>
      <c r="N10" s="722"/>
      <c r="O10" s="722"/>
      <c r="P10" s="722"/>
      <c r="Q10" s="722"/>
      <c r="R10" s="722"/>
      <c r="S10" s="722"/>
    </row>
    <row r="11" spans="1:32" ht="12.75" customHeight="1" x14ac:dyDescent="0.2">
      <c r="F11" s="677"/>
      <c r="H11" s="276"/>
      <c r="I11" s="276"/>
      <c r="J11" s="722"/>
      <c r="K11" s="722"/>
      <c r="L11" s="722"/>
      <c r="M11" s="722"/>
      <c r="N11" s="722"/>
      <c r="O11" s="722"/>
      <c r="P11" s="722"/>
      <c r="Q11" s="722"/>
      <c r="R11" s="722"/>
      <c r="S11" s="722"/>
    </row>
    <row r="12" spans="1:32" ht="12.75" customHeight="1" x14ac:dyDescent="0.2">
      <c r="D12" s="277">
        <f ca="1">OFFSET(D12,0,-1)+1</f>
        <v>1</v>
      </c>
      <c r="F12" s="135" t="s">
        <v>216</v>
      </c>
      <c r="G12" s="725" t="s">
        <v>273</v>
      </c>
      <c r="H12" s="726" t="s">
        <v>230</v>
      </c>
      <c r="I12" s="727" t="s">
        <v>233</v>
      </c>
      <c r="J12" s="278"/>
      <c r="K12" s="278"/>
      <c r="L12" s="279"/>
      <c r="M12" s="279"/>
      <c r="N12" s="279"/>
      <c r="O12" s="279"/>
      <c r="P12" s="279"/>
      <c r="Q12" s="279"/>
      <c r="R12" s="718" t="s">
        <v>274</v>
      </c>
      <c r="S12" s="719" t="s">
        <v>275</v>
      </c>
      <c r="T12" s="280">
        <v>1</v>
      </c>
      <c r="U12" s="277">
        <f ca="1">OFFSET(U12,0,-1)+1</f>
        <v>2</v>
      </c>
      <c r="V12" s="277">
        <f t="shared" ref="V12:AE12" ca="1" si="1">OFFSET(V12,0,-1)+1</f>
        <v>3</v>
      </c>
      <c r="W12" s="277">
        <f t="shared" ca="1" si="1"/>
        <v>4</v>
      </c>
      <c r="X12" s="277">
        <f t="shared" ca="1" si="1"/>
        <v>5</v>
      </c>
      <c r="Y12" s="277">
        <f t="shared" ca="1" si="1"/>
        <v>6</v>
      </c>
      <c r="Z12" s="277">
        <f t="shared" ca="1" si="1"/>
        <v>7</v>
      </c>
      <c r="AA12" s="277">
        <f t="shared" ca="1" si="1"/>
        <v>8</v>
      </c>
      <c r="AB12" s="277">
        <f t="shared" ca="1" si="1"/>
        <v>9</v>
      </c>
      <c r="AC12" s="277">
        <f t="shared" ca="1" si="1"/>
        <v>10</v>
      </c>
      <c r="AD12" s="277">
        <f t="shared" ca="1" si="1"/>
        <v>11</v>
      </c>
      <c r="AE12" s="281">
        <f t="shared" ca="1" si="1"/>
        <v>12</v>
      </c>
    </row>
    <row r="13" spans="1:32" ht="24.95" customHeight="1" x14ac:dyDescent="0.2">
      <c r="A13" s="282" t="s">
        <v>276</v>
      </c>
      <c r="B13" s="282" t="s">
        <v>168</v>
      </c>
      <c r="C13" s="282" t="s">
        <v>277</v>
      </c>
      <c r="D13" s="283" t="e">
        <f ca="1">OFFSET(D13,0,-1)+41-DAY(OFFSET(D13,0,-1)+40)</f>
        <v>#VALUE!</v>
      </c>
      <c r="E13" s="282" t="s">
        <v>278</v>
      </c>
      <c r="G13" s="725"/>
      <c r="H13" s="726"/>
      <c r="I13" s="727"/>
      <c r="J13" s="284"/>
      <c r="K13" s="284"/>
      <c r="L13" s="285" t="s">
        <v>228</v>
      </c>
      <c r="M13" s="285">
        <v>1</v>
      </c>
      <c r="N13" s="285">
        <v>2</v>
      </c>
      <c r="O13" s="285">
        <v>3</v>
      </c>
      <c r="P13" s="285">
        <v>4</v>
      </c>
      <c r="Q13" s="286" t="s">
        <v>279</v>
      </c>
      <c r="R13" s="718"/>
      <c r="S13" s="719"/>
      <c r="T13" s="287">
        <v>45170</v>
      </c>
      <c r="U13" s="283">
        <f ca="1">OFFSET(U13,0,-1)+41-DAY(OFFSET(U13,0,-1)+40)</f>
        <v>45200</v>
      </c>
      <c r="V13" s="283">
        <f ca="1">OFFSET(V13,0,-1)+41-DAY(OFFSET(V13,0,-1)+40)</f>
        <v>45231</v>
      </c>
      <c r="W13" s="283">
        <f t="shared" ref="W13:AE13" ca="1" si="2">OFFSET(W13,0,-1)+41-DAY(OFFSET(W13,0,-1)+40)</f>
        <v>45261</v>
      </c>
      <c r="X13" s="283">
        <f t="shared" ca="1" si="2"/>
        <v>45292</v>
      </c>
      <c r="Y13" s="283">
        <f t="shared" ca="1" si="2"/>
        <v>45323</v>
      </c>
      <c r="Z13" s="283">
        <f t="shared" ca="1" si="2"/>
        <v>45352</v>
      </c>
      <c r="AA13" s="283">
        <f t="shared" ca="1" si="2"/>
        <v>45383</v>
      </c>
      <c r="AB13" s="283">
        <f t="shared" ca="1" si="2"/>
        <v>45413</v>
      </c>
      <c r="AC13" s="283">
        <f t="shared" ca="1" si="2"/>
        <v>45444</v>
      </c>
      <c r="AD13" s="283">
        <f t="shared" ca="1" si="2"/>
        <v>45474</v>
      </c>
      <c r="AE13" s="288">
        <f t="shared" ca="1" si="2"/>
        <v>45505</v>
      </c>
    </row>
    <row r="14" spans="1:32" x14ac:dyDescent="0.2">
      <c r="A14" s="238">
        <f ca="1">OFFSET(A14,-3,0)+1</f>
        <v>1</v>
      </c>
      <c r="B14" s="238">
        <f ca="1">IF($Q14&lt;&gt;2,0,IF($R14=0,1,IF(E15&gt;0,OFFSET(QCI!$M$13,SUBSTITUTE(E15,".",""),0),OFFSET(ORÇAMENTO!$AA$15,CRONO!$E14,0))/$R14))</f>
        <v>0</v>
      </c>
      <c r="C14" s="238">
        <f ca="1">IF($Q14&lt;&gt;2,0,IF($R14=0,1,IF(E15&gt;0,OFFSET(QCI!$N$13,SUBSTITUTE(E15,".",""),0),OFFSET(ORÇAMENTO!$AB$15,CRONO!$E14,0))/$R14))</f>
        <v>0</v>
      </c>
      <c r="D14" s="241">
        <f ca="1">IF(AND($Q14=2,ACOMPANHAMENTO="BM"),D15,D16/$R14)</f>
        <v>0</v>
      </c>
      <c r="E14" s="238">
        <f ca="1">IF(A14&lt;=ORÇAMENTO.MáximoListaCrono,MATCH(A14,ORÇAMENTO.ListaCrono,0),NA())</f>
        <v>1</v>
      </c>
      <c r="F14" s="238" t="str">
        <f ca="1">IF(AND($E15&lt;&gt;-1,$R14&gt;0),"F","")</f>
        <v>F</v>
      </c>
      <c r="G14" s="242" t="str">
        <f ca="1">IF(OR(R14=0,R14=""),"Linha",IF(AND(OR(ACOMPANHAMENTO="PLE",$Q14&lt;&gt;2),$E15=0),"Linha",1-SUM(T14:AF14)))</f>
        <v>Linha</v>
      </c>
      <c r="H14" s="243" t="str">
        <f ca="1">IF($E15=0,OFFSET(ORÇAMENTO!O$15,$E14,0),IF($E15&lt;&gt;-1,OFFSET(QCI!$D$13,$E15,0),""))</f>
        <v>1.</v>
      </c>
      <c r="I14" s="244" t="str">
        <f ca="1">IF($E15=0,OFFSET(ORÇAMENTO!R$15,$E14,0),IF($E15&lt;&gt;-1,OFFSET(QCI!$G$13,$E15,0),""))</f>
        <v>(REFORMA DO PREDIO PREFEITURA MUNICIPAL</v>
      </c>
      <c r="J14" s="244"/>
      <c r="K14" s="244"/>
      <c r="L14" s="245">
        <f ca="1">IF($E15=0,OFFSET(ORÇAMENTO!C$15,$E14,0),1)</f>
        <v>1</v>
      </c>
      <c r="M14" s="246">
        <f ca="1">IF($E15=-1,0,IF(M$13&lt;=$L14,IF(ISERROR(MATCH(M$13,OFFSET($L14,1,0,ROW($L$164)-ROW($L14)-1),0)),ROW($L$164)-ROW($L14)-1,MATCH(M$13,OFFSET($L14,1,0,ROW($L$164)-ROW($L14)-1),0)-1),0))</f>
        <v>14</v>
      </c>
      <c r="N14" s="246">
        <f ca="1">IF($E15=-1,0,IF(N$13&lt;=$L14,IF(ISERROR(MATCH(N$13,OFFSET($L14,1,0,ROW($L$164)-ROW($L14)-1),0)),ROW($L$164)-ROW($L14)-1,MATCH(N$13,OFFSET($L14,1,0,ROW($L$164)-ROW($L14)-1),0)-1),0))</f>
        <v>0</v>
      </c>
      <c r="O14" s="246">
        <f ca="1">IF($E15=-1,0,IF(O$13&lt;=$L14,IF(ISERROR(MATCH(O$13,OFFSET($L14,1,0,ROW($L$164)-ROW($L14)-1),0)),ROW($L$164)-ROW($L14)-1,MATCH(O$13,OFFSET($L14,1,0,ROW($L$164)-ROW($L14)-1),0)-1),0))</f>
        <v>0</v>
      </c>
      <c r="P14" s="246">
        <f ca="1">IF($E15=-1,0,IF(P$13&lt;=$L14,IF(ISERROR(MATCH(P$13,OFFSET($L14,1,0,ROW($L$164)-ROW($L14)-1),0)),ROW($L$164)-ROW($L14)-1,MATCH(P$13,OFFSET($L14,1,0,ROW($L$164)-ROW($L14)-1),0)-1),0))</f>
        <v>0</v>
      </c>
      <c r="Q14" s="246">
        <f ca="1">MIN(OFFSET(L14,0,1,,L14))</f>
        <v>14</v>
      </c>
      <c r="R14" s="247">
        <f ca="1">IF($E15=0,OFFSET(ORÇAMENTO!X$15,$E14,0),IF($E15&lt;&gt;-1,OFFSET(QCI!$O$13,$E15,0),""))</f>
        <v>192352.07</v>
      </c>
      <c r="S14" s="248" t="s">
        <v>269</v>
      </c>
      <c r="T14" s="249">
        <f t="shared" ref="T14:AE14" ca="1" si="3">IF(AND($Q14=2,ACOMPANHAMENTO="BM"),T15,T16/$R14)</f>
        <v>0.89794209129124536</v>
      </c>
      <c r="U14" s="241">
        <f t="shared" ca="1" si="3"/>
        <v>0.10205790870875472</v>
      </c>
      <c r="V14" s="241">
        <f t="shared" ca="1" si="3"/>
        <v>0</v>
      </c>
      <c r="W14" s="241">
        <f t="shared" ca="1" si="3"/>
        <v>0</v>
      </c>
      <c r="X14" s="241">
        <f t="shared" ca="1" si="3"/>
        <v>0</v>
      </c>
      <c r="Y14" s="241">
        <f t="shared" ca="1" si="3"/>
        <v>0</v>
      </c>
      <c r="Z14" s="241">
        <f t="shared" ca="1" si="3"/>
        <v>0</v>
      </c>
      <c r="AA14" s="241">
        <f t="shared" ca="1" si="3"/>
        <v>0</v>
      </c>
      <c r="AB14" s="241">
        <f t="shared" ca="1" si="3"/>
        <v>0</v>
      </c>
      <c r="AC14" s="241">
        <f t="shared" ca="1" si="3"/>
        <v>0</v>
      </c>
      <c r="AD14" s="241">
        <f t="shared" ca="1" si="3"/>
        <v>0</v>
      </c>
      <c r="AE14" s="250">
        <f t="shared" ca="1" si="3"/>
        <v>0</v>
      </c>
    </row>
    <row r="15" spans="1:32" ht="12.75" customHeight="1" x14ac:dyDescent="0.2">
      <c r="D15" s="619"/>
      <c r="E15" s="238">
        <f ca="1">IF(ISERROR(E14),IF(1+COUNTIF($L$13:OFFSET(L14,-1,0),1)&lt;=MAX(QCI!$D$13:$D$24),1+COUNTIF($L$13:OFFSET(L14,-1,0),1),-1),0)</f>
        <v>0</v>
      </c>
      <c r="F15" s="238" t="str">
        <f ca="1">IF(AND($E15&lt;&gt;-1,$R14&gt;0),"F","")</f>
        <v>F</v>
      </c>
      <c r="G15" s="251" t="str">
        <f ca="1">IF(OR(R14=0,R14=""),"vazia",IF(AND(OR(ACOMPANHAMENTO="PLE",$Q14&lt;&gt;2),$E15=0),"calculada","--&gt;"))</f>
        <v>calculada</v>
      </c>
      <c r="H15" s="252"/>
      <c r="I15" s="253" t="str">
        <f ca="1">IF(AND(G14&lt;&gt;0,ISNUMBER(G14)),"PREENCHA ESTA LINHA --&gt;","")</f>
        <v/>
      </c>
      <c r="J15" s="253"/>
      <c r="K15" s="253"/>
      <c r="L15" s="254"/>
      <c r="M15" s="254"/>
      <c r="N15" s="254"/>
      <c r="O15" s="254"/>
      <c r="P15" s="254"/>
      <c r="Q15" s="254"/>
      <c r="R15" s="255"/>
      <c r="S15" s="256"/>
      <c r="T15" s="620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21"/>
      <c r="AF15" s="579"/>
    </row>
    <row r="16" spans="1:32" ht="0.2" hidden="1" customHeight="1" x14ac:dyDescent="0.2">
      <c r="D16" s="257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8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8"/>
      <c r="R16" s="259" t="str">
        <f ca="1">L14&amp;"$"</f>
        <v>1$</v>
      </c>
      <c r="S16" s="260"/>
      <c r="T16" s="261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172721.02000000002</v>
      </c>
      <c r="U16" s="257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19631.05</v>
      </c>
      <c r="V16" s="257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7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7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7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7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7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7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7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7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2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8">
        <f ca="1">OFFSET(A17,-3,0)+1</f>
        <v>2</v>
      </c>
      <c r="B17" s="238">
        <f ca="1">IF($Q17&lt;&gt;2,0,IF($R17=0,1,IF(E18&gt;0,OFFSET(QCI!$M$13,SUBSTITUTE(E18,".",""),0),OFFSET(ORÇAMENTO!$AA$15,CRONO!$E17,0))/$R17))</f>
        <v>1</v>
      </c>
      <c r="C17" s="238">
        <f ca="1">IF($Q17&lt;&gt;2,0,IF($R17=0,1,IF(E18&gt;0,OFFSET(QCI!$N$13,SUBSTITUTE(E18,".",""),0),OFFSET(ORÇAMENTO!$AB$15,CRONO!$E17,0))/$R17))</f>
        <v>0</v>
      </c>
      <c r="D17" s="241">
        <f ca="1">IF(AND($Q17=2,ACOMPANHAMENTO="BM"),D18,D19/$R17)</f>
        <v>0</v>
      </c>
      <c r="E17" s="238">
        <f ca="1">IF(A17&lt;=ORÇAMENTO.MáximoListaCrono,MATCH(A17,ORÇAMENTO.ListaCrono,0),NA())</f>
        <v>2</v>
      </c>
      <c r="F17" s="238" t="str">
        <f ca="1">IF(AND($E18&lt;&gt;-1,$R17&gt;0),"F","")</f>
        <v>F</v>
      </c>
      <c r="G17" s="242">
        <f ca="1">IF(OR(R17=0,R17=""),"Linha",IF(AND(OR(ACOMPANHAMENTO="PLE",$Q17&lt;&gt;2),$E18=0),"Linha",1-SUM(T17:AF17)))</f>
        <v>0</v>
      </c>
      <c r="H17" s="243" t="str">
        <f ca="1">IF($E18=0,OFFSET(ORÇAMENTO!O$15,$E17,0),IF($E18&lt;&gt;-1,OFFSET(QCI!$D$13,$E18,0),""))</f>
        <v>1.1.</v>
      </c>
      <c r="I17" s="244" t="str">
        <f ca="1">IF($E18=0,OFFSET(ORÇAMENTO!R$15,$E17,0),IF($E18&lt;&gt;-1,OFFSET(QCI!$G$13,$E18,0),""))</f>
        <v>SERVIÇOS PRELIMINARES</v>
      </c>
      <c r="J17" s="244"/>
      <c r="K17" s="244"/>
      <c r="L17" s="245">
        <f ca="1">IF($E18=0,OFFSET(ORÇAMENTO!C$15,$E17,0),1)</f>
        <v>2</v>
      </c>
      <c r="M17" s="246">
        <f ca="1">IF($E18=-1,0,IF(M$13&lt;=$L17,IF(ISERROR(MATCH(M$13,OFFSET($L17,1,0,ROW($L$164)-ROW($L17)-1),0)),ROW($L$164)-ROW($L17)-1,MATCH(M$13,OFFSET($L17,1,0,ROW($L$164)-ROW($L17)-1),0)-1),0))</f>
        <v>11</v>
      </c>
      <c r="N17" s="246">
        <f ca="1">IF($E18=-1,0,IF(N$13&lt;=$L17,IF(ISERROR(MATCH(N$13,OFFSET($L17,1,0,ROW($L$164)-ROW($L17)-1),0)),ROW($L$164)-ROW($L17)-1,MATCH(N$13,OFFSET($L17,1,0,ROW($L$164)-ROW($L17)-1),0)-1),0))</f>
        <v>2</v>
      </c>
      <c r="O17" s="246">
        <f ca="1">IF($E18=-1,0,IF(O$13&lt;=$L17,IF(ISERROR(MATCH(O$13,OFFSET($L17,1,0,ROW($L$164)-ROW($L17)-1),0)),ROW($L$164)-ROW($L17)-1,MATCH(O$13,OFFSET($L17,1,0,ROW($L$164)-ROW($L17)-1),0)-1),0))</f>
        <v>0</v>
      </c>
      <c r="P17" s="246">
        <f ca="1">IF($E18=-1,0,IF(P$13&lt;=$L17,IF(ISERROR(MATCH(P$13,OFFSET($L17,1,0,ROW($L$164)-ROW($L17)-1),0)),ROW($L$164)-ROW($L17)-1,MATCH(P$13,OFFSET($L17,1,0,ROW($L$164)-ROW($L17)-1),0)-1),0))</f>
        <v>0</v>
      </c>
      <c r="Q17" s="246">
        <f ca="1">MIN(OFFSET(L17,0,1,,L17))</f>
        <v>2</v>
      </c>
      <c r="R17" s="247">
        <f ca="1">IF($E18=0,OFFSET(ORÇAMENTO!X$15,$E17,0),IF($E18&lt;&gt;-1,OFFSET(QCI!$O$13,$E18,0),""))</f>
        <v>9562.61</v>
      </c>
      <c r="S17" s="248" t="s">
        <v>269</v>
      </c>
      <c r="T17" s="249">
        <f t="shared" ref="T17:AE17" ca="1" si="4">IF(AND($Q17=2,ACOMPANHAMENTO="BM"),T18,T19/$R17)</f>
        <v>1</v>
      </c>
      <c r="U17" s="241">
        <f t="shared" ca="1" si="4"/>
        <v>0</v>
      </c>
      <c r="V17" s="241">
        <f t="shared" ca="1" si="4"/>
        <v>0</v>
      </c>
      <c r="W17" s="241">
        <f t="shared" ca="1" si="4"/>
        <v>0</v>
      </c>
      <c r="X17" s="241">
        <f t="shared" ca="1" si="4"/>
        <v>0</v>
      </c>
      <c r="Y17" s="241">
        <f t="shared" ca="1" si="4"/>
        <v>0</v>
      </c>
      <c r="Z17" s="241">
        <f t="shared" ca="1" si="4"/>
        <v>0</v>
      </c>
      <c r="AA17" s="241">
        <f t="shared" ca="1" si="4"/>
        <v>0</v>
      </c>
      <c r="AB17" s="241">
        <f t="shared" ca="1" si="4"/>
        <v>0</v>
      </c>
      <c r="AC17" s="241">
        <f t="shared" ca="1" si="4"/>
        <v>0</v>
      </c>
      <c r="AD17" s="241">
        <f t="shared" ca="1" si="4"/>
        <v>0</v>
      </c>
      <c r="AE17" s="250">
        <f t="shared" ca="1" si="4"/>
        <v>0</v>
      </c>
    </row>
    <row r="18" spans="1:32" ht="12.75" customHeight="1" x14ac:dyDescent="0.2">
      <c r="D18" s="619"/>
      <c r="E18" s="238">
        <f ca="1">IF(ISERROR(E17),IF(1+COUNTIF($L$13:OFFSET(L17,-1,0),1)&lt;=MAX(QCI!$D$13:$D$24),1+COUNTIF($L$13:OFFSET(L17,-1,0),1),-1),0)</f>
        <v>0</v>
      </c>
      <c r="F18" s="238" t="str">
        <f ca="1">IF(AND($E18&lt;&gt;-1,$R17&gt;0),"F","")</f>
        <v>F</v>
      </c>
      <c r="G18" s="251" t="str">
        <f ca="1">IF(OR(R17=0,R17=""),"vazia",IF(AND(OR(ACOMPANHAMENTO="PLE",$Q17&lt;&gt;2),$E18=0),"calculada","--&gt;"))</f>
        <v>--&gt;</v>
      </c>
      <c r="H18" s="252"/>
      <c r="I18" s="253" t="str">
        <f ca="1">IF(AND(G17&lt;&gt;0,ISNUMBER(G17)),"PREENCHA ESTA LINHA --&gt;","")</f>
        <v/>
      </c>
      <c r="J18" s="253"/>
      <c r="K18" s="253"/>
      <c r="L18" s="254"/>
      <c r="M18" s="254"/>
      <c r="N18" s="254"/>
      <c r="O18" s="254"/>
      <c r="P18" s="254"/>
      <c r="Q18" s="254"/>
      <c r="R18" s="255"/>
      <c r="S18" s="256"/>
      <c r="T18" s="620">
        <v>1</v>
      </c>
      <c r="U18" s="619"/>
      <c r="V18" s="619"/>
      <c r="W18" s="619"/>
      <c r="X18" s="619"/>
      <c r="Y18" s="619"/>
      <c r="Z18" s="619"/>
      <c r="AA18" s="619"/>
      <c r="AB18" s="619"/>
      <c r="AC18" s="619"/>
      <c r="AD18" s="619"/>
      <c r="AE18" s="621"/>
      <c r="AF18" s="579"/>
    </row>
    <row r="19" spans="1:32" ht="0.2" hidden="1" customHeight="1" x14ac:dyDescent="0.2">
      <c r="D19" s="257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8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8"/>
      <c r="R19" s="259" t="str">
        <f ca="1">L17&amp;"$"</f>
        <v>2$</v>
      </c>
      <c r="S19" s="260"/>
      <c r="T19" s="261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9562.61</v>
      </c>
      <c r="U19" s="257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7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7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7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7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7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7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7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7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7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2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8">
        <f ca="1">OFFSET(A20,-3,0)+1</f>
        <v>3</v>
      </c>
      <c r="B20" s="238">
        <f ca="1">IF($Q20&lt;&gt;2,0,IF($R20=0,1,IF(E21&gt;0,OFFSET(QCI!$M$13,SUBSTITUTE(E21,".",""),0),OFFSET(ORÇAMENTO!$AA$15,CRONO!$E20,0))/$R20))</f>
        <v>1</v>
      </c>
      <c r="C20" s="238">
        <f ca="1">IF($Q20&lt;&gt;2,0,IF($R20=0,1,IF(E21&gt;0,OFFSET(QCI!$N$13,SUBSTITUTE(E21,".",""),0),OFFSET(ORÇAMENTO!$AB$15,CRONO!$E20,0))/$R20))</f>
        <v>0</v>
      </c>
      <c r="D20" s="241">
        <f ca="1">IF(AND($Q20=2,ACOMPANHAMENTO="BM"),D21,D22/$R20)</f>
        <v>0</v>
      </c>
      <c r="E20" s="238">
        <f ca="1">IF(A20&lt;=ORÇAMENTO.MáximoListaCrono,MATCH(A20,ORÇAMENTO.ListaCrono,0),NA())</f>
        <v>19</v>
      </c>
      <c r="F20" s="238" t="str">
        <f ca="1">IF(AND($E21&lt;&gt;-1,$R20&gt;0),"F","")</f>
        <v>F</v>
      </c>
      <c r="G20" s="242">
        <f ca="1">IF(OR(R20=0,R20=""),"Linha",IF(AND(OR(ACOMPANHAMENTO="PLE",$Q20&lt;&gt;2),$E21=0),"Linha",1-SUM(T20:AF20)))</f>
        <v>0</v>
      </c>
      <c r="H20" s="243" t="str">
        <f ca="1">IF($E21=0,OFFSET(ORÇAMENTO!O$15,$E20,0),IF($E21&lt;&gt;-1,OFFSET(QCI!$D$13,$E21,0),""))</f>
        <v>1.2.</v>
      </c>
      <c r="I20" s="244" t="str">
        <f ca="1">IF($E21=0,OFFSET(ORÇAMENTO!R$15,$E20,0),IF($E21&lt;&gt;-1,OFFSET(QCI!$G$13,$E21,0),""))</f>
        <v>ESQUADRIAS</v>
      </c>
      <c r="J20" s="244"/>
      <c r="K20" s="244"/>
      <c r="L20" s="245">
        <f ca="1">IF($E21=0,OFFSET(ORÇAMENTO!C$15,$E20,0),1)</f>
        <v>2</v>
      </c>
      <c r="M20" s="246">
        <f ca="1">IF($E21=-1,0,IF(M$13&lt;=$L20,IF(ISERROR(MATCH(M$13,OFFSET($L20,1,0,ROW($L$164)-ROW($L20)-1),0)),ROW($L$164)-ROW($L20)-1,MATCH(M$13,OFFSET($L20,1,0,ROW($L$164)-ROW($L20)-1),0)-1),0))</f>
        <v>8</v>
      </c>
      <c r="N20" s="246">
        <f ca="1">IF($E21=-1,0,IF(N$13&lt;=$L20,IF(ISERROR(MATCH(N$13,OFFSET($L20,1,0,ROW($L$164)-ROW($L20)-1),0)),ROW($L$164)-ROW($L20)-1,MATCH(N$13,OFFSET($L20,1,0,ROW($L$164)-ROW($L20)-1),0)-1),0))</f>
        <v>2</v>
      </c>
      <c r="O20" s="246">
        <f ca="1">IF($E21=-1,0,IF(O$13&lt;=$L20,IF(ISERROR(MATCH(O$13,OFFSET($L20,1,0,ROW($L$164)-ROW($L20)-1),0)),ROW($L$164)-ROW($L20)-1,MATCH(O$13,OFFSET($L20,1,0,ROW($L$164)-ROW($L20)-1),0)-1),0))</f>
        <v>0</v>
      </c>
      <c r="P20" s="246">
        <f ca="1">IF($E21=-1,0,IF(P$13&lt;=$L20,IF(ISERROR(MATCH(P$13,OFFSET($L20,1,0,ROW($L$164)-ROW($L20)-1),0)),ROW($L$164)-ROW($L20)-1,MATCH(P$13,OFFSET($L20,1,0,ROW($L$164)-ROW($L20)-1),0)-1),0))</f>
        <v>0</v>
      </c>
      <c r="Q20" s="246">
        <f ca="1">MIN(OFFSET(L20,0,1,,L20))</f>
        <v>2</v>
      </c>
      <c r="R20" s="247">
        <f ca="1">IF($E21=0,OFFSET(ORÇAMENTO!X$15,$E20,0),IF($E21&lt;&gt;-1,OFFSET(QCI!$O$13,$E21,0),""))</f>
        <v>160977.84</v>
      </c>
      <c r="S20" s="248" t="s">
        <v>269</v>
      </c>
      <c r="T20" s="249">
        <f t="shared" ref="T20:AE20" ca="1" si="5">IF(AND($Q20=2,ACOMPANHAMENTO="BM"),T21,T22/$R20)</f>
        <v>1</v>
      </c>
      <c r="U20" s="241">
        <f t="shared" ca="1" si="5"/>
        <v>0</v>
      </c>
      <c r="V20" s="241">
        <f t="shared" ca="1" si="5"/>
        <v>0</v>
      </c>
      <c r="W20" s="241">
        <f t="shared" ca="1" si="5"/>
        <v>0</v>
      </c>
      <c r="X20" s="241">
        <f t="shared" ca="1" si="5"/>
        <v>0</v>
      </c>
      <c r="Y20" s="241">
        <f t="shared" ca="1" si="5"/>
        <v>0</v>
      </c>
      <c r="Z20" s="241">
        <f t="shared" ca="1" si="5"/>
        <v>0</v>
      </c>
      <c r="AA20" s="241">
        <f t="shared" ca="1" si="5"/>
        <v>0</v>
      </c>
      <c r="AB20" s="241">
        <f t="shared" ca="1" si="5"/>
        <v>0</v>
      </c>
      <c r="AC20" s="241">
        <f t="shared" ca="1" si="5"/>
        <v>0</v>
      </c>
      <c r="AD20" s="241">
        <f t="shared" ca="1" si="5"/>
        <v>0</v>
      </c>
      <c r="AE20" s="250">
        <f t="shared" ca="1" si="5"/>
        <v>0</v>
      </c>
    </row>
    <row r="21" spans="1:32" ht="12.75" customHeight="1" x14ac:dyDescent="0.2">
      <c r="D21" s="619"/>
      <c r="E21" s="238">
        <f ca="1">IF(ISERROR(E20),IF(1+COUNTIF($L$13:OFFSET(L20,-1,0),1)&lt;=MAX(QCI!$D$13:$D$24),1+COUNTIF($L$13:OFFSET(L20,-1,0),1),-1),0)</f>
        <v>0</v>
      </c>
      <c r="F21" s="238" t="str">
        <f ca="1">IF(AND($E21&lt;&gt;-1,$R20&gt;0),"F","")</f>
        <v>F</v>
      </c>
      <c r="G21" s="251" t="str">
        <f ca="1">IF(OR(R20=0,R20=""),"vazia",IF(AND(OR(ACOMPANHAMENTO="PLE",$Q20&lt;&gt;2),$E21=0),"calculada","--&gt;"))</f>
        <v>--&gt;</v>
      </c>
      <c r="H21" s="252"/>
      <c r="I21" s="253" t="str">
        <f ca="1">IF(AND(G20&lt;&gt;0,ISNUMBER(G20)),"PREENCHA ESTA LINHA --&gt;","")</f>
        <v/>
      </c>
      <c r="J21" s="253"/>
      <c r="K21" s="253"/>
      <c r="L21" s="254"/>
      <c r="M21" s="254"/>
      <c r="N21" s="254"/>
      <c r="O21" s="254"/>
      <c r="P21" s="254"/>
      <c r="Q21" s="254"/>
      <c r="R21" s="255"/>
      <c r="S21" s="256"/>
      <c r="T21" s="620">
        <v>1</v>
      </c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21"/>
      <c r="AF21" s="579"/>
    </row>
    <row r="22" spans="1:32" ht="0.2" hidden="1" customHeight="1" x14ac:dyDescent="0.2">
      <c r="D22" s="257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8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8"/>
      <c r="R22" s="259" t="str">
        <f ca="1">L20&amp;"$"</f>
        <v>2$</v>
      </c>
      <c r="S22" s="260"/>
      <c r="T22" s="261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160977.84</v>
      </c>
      <c r="U22" s="257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7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7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7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7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7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7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7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7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7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2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8">
        <f ca="1">OFFSET(A23,-3,0)+1</f>
        <v>4</v>
      </c>
      <c r="B23" s="238">
        <f ca="1">IF($Q23&lt;&gt;2,0,IF($R23=0,1,IF(E24&gt;0,OFFSET(QCI!$M$13,SUBSTITUTE(E24,".",""),0),OFFSET(ORÇAMENTO!$AA$15,CRONO!$E23,0))/$R23))</f>
        <v>0.99999999999999978</v>
      </c>
      <c r="C23" s="238">
        <f ca="1">IF($Q23&lt;&gt;2,0,IF($R23=0,1,IF(E24&gt;0,OFFSET(QCI!$N$13,SUBSTITUTE(E24,".",""),0),OFFSET(ORÇAMENTO!$AB$15,CRONO!$E23,0))/$R23))</f>
        <v>0</v>
      </c>
      <c r="D23" s="241">
        <f ca="1">IF(AND($Q23=2,ACOMPANHAMENTO="BM"),D24,D25/$R23)</f>
        <v>0</v>
      </c>
      <c r="E23" s="238">
        <f ca="1">IF(A23&lt;=ORÇAMENTO.MáximoListaCrono,MATCH(A23,ORÇAMENTO.ListaCrono,0),NA())</f>
        <v>27</v>
      </c>
      <c r="F23" s="238" t="str">
        <f ca="1">IF(AND($E24&lt;&gt;-1,$R23&gt;0),"F","")</f>
        <v>F</v>
      </c>
      <c r="G23" s="242">
        <f ca="1">IF(OR(R23=0,R23=""),"Linha",IF(AND(OR(ACOMPANHAMENTO="PLE",$Q23&lt;&gt;2),$E24=0),"Linha",1-SUM(T23:AF23)))</f>
        <v>0</v>
      </c>
      <c r="H23" s="243" t="str">
        <f ca="1">IF($E24=0,OFFSET(ORÇAMENTO!O$15,$E23,0),IF($E24&lt;&gt;-1,OFFSET(QCI!$D$13,$E24,0),""))</f>
        <v>1.3.</v>
      </c>
      <c r="I23" s="244" t="str">
        <f ca="1">IF($E24=0,OFFSET(ORÇAMENTO!R$15,$E23,0),IF($E24&lt;&gt;-1,OFFSET(QCI!$G$13,$E24,0),""))</f>
        <v>ALVENARIA</v>
      </c>
      <c r="J23" s="244"/>
      <c r="K23" s="244"/>
      <c r="L23" s="245">
        <f ca="1">IF($E24=0,OFFSET(ORÇAMENTO!C$15,$E23,0),1)</f>
        <v>2</v>
      </c>
      <c r="M23" s="246">
        <f ca="1">IF($E24=-1,0,IF(M$13&lt;=$L23,IF(ISERROR(MATCH(M$13,OFFSET($L23,1,0,ROW($L$164)-ROW($L23)-1),0)),ROW($L$164)-ROW($L23)-1,MATCH(M$13,OFFSET($L23,1,0,ROW($L$164)-ROW($L23)-1),0)-1),0))</f>
        <v>5</v>
      </c>
      <c r="N23" s="246">
        <f ca="1">IF($E24=-1,0,IF(N$13&lt;=$L23,IF(ISERROR(MATCH(N$13,OFFSET($L23,1,0,ROW($L$164)-ROW($L23)-1),0)),ROW($L$164)-ROW($L23)-1,MATCH(N$13,OFFSET($L23,1,0,ROW($L$164)-ROW($L23)-1),0)-1),0))</f>
        <v>2</v>
      </c>
      <c r="O23" s="246">
        <f ca="1">IF($E24=-1,0,IF(O$13&lt;=$L23,IF(ISERROR(MATCH(O$13,OFFSET($L23,1,0,ROW($L$164)-ROW($L23)-1),0)),ROW($L$164)-ROW($L23)-1,MATCH(O$13,OFFSET($L23,1,0,ROW($L$164)-ROW($L23)-1),0)-1),0))</f>
        <v>0</v>
      </c>
      <c r="P23" s="246">
        <f ca="1">IF($E24=-1,0,IF(P$13&lt;=$L23,IF(ISERROR(MATCH(P$13,OFFSET($L23,1,0,ROW($L$164)-ROW($L23)-1),0)),ROW($L$164)-ROW($L23)-1,MATCH(P$13,OFFSET($L23,1,0,ROW($L$164)-ROW($L23)-1),0)-1),0))</f>
        <v>0</v>
      </c>
      <c r="Q23" s="246">
        <f ca="1">MIN(OFFSET(L23,0,1,,L23))</f>
        <v>2</v>
      </c>
      <c r="R23" s="247">
        <f ca="1">IF($E24=0,OFFSET(ORÇAMENTO!X$15,$E23,0),IF($E24&lt;&gt;-1,OFFSET(QCI!$O$13,$E24,0),""))</f>
        <v>2180.5700000000002</v>
      </c>
      <c r="S23" s="248" t="s">
        <v>269</v>
      </c>
      <c r="T23" s="249">
        <f t="shared" ref="T23:AE23" ca="1" si="6">IF(AND($Q23=2,ACOMPANHAMENTO="BM"),T24,T25/$R23)</f>
        <v>1</v>
      </c>
      <c r="U23" s="241">
        <f t="shared" ca="1" si="6"/>
        <v>0</v>
      </c>
      <c r="V23" s="241">
        <f t="shared" ca="1" si="6"/>
        <v>0</v>
      </c>
      <c r="W23" s="241">
        <f t="shared" ca="1" si="6"/>
        <v>0</v>
      </c>
      <c r="X23" s="241">
        <f t="shared" ca="1" si="6"/>
        <v>0</v>
      </c>
      <c r="Y23" s="241">
        <f t="shared" ca="1" si="6"/>
        <v>0</v>
      </c>
      <c r="Z23" s="241">
        <f t="shared" ca="1" si="6"/>
        <v>0</v>
      </c>
      <c r="AA23" s="241">
        <f t="shared" ca="1" si="6"/>
        <v>0</v>
      </c>
      <c r="AB23" s="241">
        <f t="shared" ca="1" si="6"/>
        <v>0</v>
      </c>
      <c r="AC23" s="241">
        <f t="shared" ca="1" si="6"/>
        <v>0</v>
      </c>
      <c r="AD23" s="241">
        <f t="shared" ca="1" si="6"/>
        <v>0</v>
      </c>
      <c r="AE23" s="250">
        <f t="shared" ca="1" si="6"/>
        <v>0</v>
      </c>
    </row>
    <row r="24" spans="1:32" ht="12.75" customHeight="1" x14ac:dyDescent="0.2">
      <c r="D24" s="619"/>
      <c r="E24" s="238">
        <f ca="1">IF(ISERROR(E23),IF(1+COUNTIF($L$13:OFFSET(L23,-1,0),1)&lt;=MAX(QCI!$D$13:$D$24),1+COUNTIF($L$13:OFFSET(L23,-1,0),1),-1),0)</f>
        <v>0</v>
      </c>
      <c r="F24" s="238" t="str">
        <f ca="1">IF(AND($E24&lt;&gt;-1,$R23&gt;0),"F","")</f>
        <v>F</v>
      </c>
      <c r="G24" s="251" t="str">
        <f ca="1">IF(OR(R23=0,R23=""),"vazia",IF(AND(OR(ACOMPANHAMENTO="PLE",$Q23&lt;&gt;2),$E24=0),"calculada","--&gt;"))</f>
        <v>--&gt;</v>
      </c>
      <c r="H24" s="252"/>
      <c r="I24" s="253" t="str">
        <f ca="1">IF(AND(G23&lt;&gt;0,ISNUMBER(G23)),"PREENCHA ESTA LINHA --&gt;","")</f>
        <v/>
      </c>
      <c r="J24" s="253"/>
      <c r="K24" s="253"/>
      <c r="L24" s="254"/>
      <c r="M24" s="254"/>
      <c r="N24" s="254"/>
      <c r="O24" s="254"/>
      <c r="P24" s="254"/>
      <c r="Q24" s="254"/>
      <c r="R24" s="255"/>
      <c r="S24" s="256"/>
      <c r="T24" s="620">
        <v>1</v>
      </c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21"/>
      <c r="AF24" s="579"/>
    </row>
    <row r="25" spans="1:32" ht="0.2" hidden="1" customHeight="1" x14ac:dyDescent="0.2">
      <c r="D25" s="257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8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8"/>
      <c r="R25" s="259" t="str">
        <f ca="1">L23&amp;"$"</f>
        <v>2$</v>
      </c>
      <c r="S25" s="260"/>
      <c r="T25" s="261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2180.5700000000002</v>
      </c>
      <c r="U25" s="257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0</v>
      </c>
      <c r="V25" s="257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7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7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7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7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7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7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7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7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2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8">
        <f ca="1">OFFSET(A26,-3,0)+1</f>
        <v>5</v>
      </c>
      <c r="B26" s="238">
        <f ca="1">IF($Q26&lt;&gt;2,0,IF($R26=0,1,IF(E27&gt;0,OFFSET(QCI!$M$13,SUBSTITUTE(E27,".",""),0),OFFSET(ORÇAMENTO!$AA$15,CRONO!$E26,0))/$R26))</f>
        <v>1</v>
      </c>
      <c r="C26" s="238">
        <f ca="1">IF($Q26&lt;&gt;2,0,IF($R26=0,1,IF(E27&gt;0,OFFSET(QCI!$N$13,SUBSTITUTE(E27,".",""),0),OFFSET(ORÇAMENTO!$AB$15,CRONO!$E26,0))/$R26))</f>
        <v>0</v>
      </c>
      <c r="D26" s="241">
        <f ca="1">IF(AND($Q26=2,ACOMPANHAMENTO="BM"),D27,D28/$R26)</f>
        <v>0</v>
      </c>
      <c r="E26" s="238">
        <f ca="1">IF(A26&lt;=ORÇAMENTO.MáximoListaCrono,MATCH(A26,ORÇAMENTO.ListaCrono,0),NA())</f>
        <v>37</v>
      </c>
      <c r="F26" s="238" t="str">
        <f ca="1">IF(AND($E27&lt;&gt;-1,$R26&gt;0),"F","")</f>
        <v>F</v>
      </c>
      <c r="G26" s="242">
        <f ca="1">IF(OR(R26=0,R26=""),"Linha",IF(AND(OR(ACOMPANHAMENTO="PLE",$Q26&lt;&gt;2),$E27=0),"Linha",1-SUM(T26:AF26)))</f>
        <v>0</v>
      </c>
      <c r="H26" s="243" t="str">
        <f ca="1">IF($E27=0,OFFSET(ORÇAMENTO!O$15,$E26,0),IF($E27&lt;&gt;-1,OFFSET(QCI!$D$13,$E27,0),""))</f>
        <v>1.4.</v>
      </c>
      <c r="I26" s="244" t="str">
        <f ca="1">IF($E27=0,OFFSET(ORÇAMENTO!R$15,$E26,0),IF($E27&lt;&gt;-1,OFFSET(QCI!$G$13,$E27,0),""))</f>
        <v>PINTURAS E TEXTURAS</v>
      </c>
      <c r="J26" s="244"/>
      <c r="K26" s="244"/>
      <c r="L26" s="245">
        <f ca="1">IF($E27=0,OFFSET(ORÇAMENTO!C$15,$E26,0),1)</f>
        <v>2</v>
      </c>
      <c r="M26" s="246">
        <f ca="1">IF($E27=-1,0,IF(M$13&lt;=$L26,IF(ISERROR(MATCH(M$13,OFFSET($L26,1,0,ROW($L$164)-ROW($L26)-1),0)),ROW($L$164)-ROW($L26)-1,MATCH(M$13,OFFSET($L26,1,0,ROW($L$164)-ROW($L26)-1),0)-1),0))</f>
        <v>2</v>
      </c>
      <c r="N26" s="246">
        <f ca="1">IF($E27=-1,0,IF(N$13&lt;=$L26,IF(ISERROR(MATCH(N$13,OFFSET($L26,1,0,ROW($L$164)-ROW($L26)-1),0)),ROW($L$164)-ROW($L26)-1,MATCH(N$13,OFFSET($L26,1,0,ROW($L$164)-ROW($L26)-1),0)-1),0))</f>
        <v>137</v>
      </c>
      <c r="O26" s="246">
        <f ca="1">IF($E27=-1,0,IF(O$13&lt;=$L26,IF(ISERROR(MATCH(O$13,OFFSET($L26,1,0,ROW($L$164)-ROW($L26)-1),0)),ROW($L$164)-ROW($L26)-1,MATCH(O$13,OFFSET($L26,1,0,ROW($L$164)-ROW($L26)-1),0)-1),0))</f>
        <v>0</v>
      </c>
      <c r="P26" s="246">
        <f ca="1">IF($E27=-1,0,IF(P$13&lt;=$L26,IF(ISERROR(MATCH(P$13,OFFSET($L26,1,0,ROW($L$164)-ROW($L26)-1),0)),ROW($L$164)-ROW($L26)-1,MATCH(P$13,OFFSET($L26,1,0,ROW($L$164)-ROW($L26)-1),0)-1),0))</f>
        <v>0</v>
      </c>
      <c r="Q26" s="246">
        <f ca="1">MIN(OFFSET(L26,0,1,,L26))</f>
        <v>2</v>
      </c>
      <c r="R26" s="247">
        <f ca="1">IF($E27=0,OFFSET(ORÇAMENTO!X$15,$E26,0),IF($E27&lt;&gt;-1,OFFSET(QCI!$O$13,$E27,0),""))</f>
        <v>19631.05</v>
      </c>
      <c r="S26" s="248" t="s">
        <v>269</v>
      </c>
      <c r="T26" s="249">
        <f t="shared" ref="T26:AE26" ca="1" si="7">IF(AND($Q26=2,ACOMPANHAMENTO="BM"),T27,T28/$R26)</f>
        <v>0</v>
      </c>
      <c r="U26" s="241">
        <f t="shared" ca="1" si="7"/>
        <v>1</v>
      </c>
      <c r="V26" s="241">
        <f t="shared" ca="1" si="7"/>
        <v>0</v>
      </c>
      <c r="W26" s="241">
        <f t="shared" ca="1" si="7"/>
        <v>0</v>
      </c>
      <c r="X26" s="241">
        <f t="shared" ca="1" si="7"/>
        <v>0</v>
      </c>
      <c r="Y26" s="241">
        <f t="shared" ca="1" si="7"/>
        <v>0</v>
      </c>
      <c r="Z26" s="241">
        <f t="shared" ca="1" si="7"/>
        <v>0</v>
      </c>
      <c r="AA26" s="241">
        <f t="shared" ca="1" si="7"/>
        <v>0</v>
      </c>
      <c r="AB26" s="241">
        <f t="shared" ca="1" si="7"/>
        <v>0</v>
      </c>
      <c r="AC26" s="241">
        <f t="shared" ca="1" si="7"/>
        <v>0</v>
      </c>
      <c r="AD26" s="241">
        <f t="shared" ca="1" si="7"/>
        <v>0</v>
      </c>
      <c r="AE26" s="250">
        <f t="shared" ca="1" si="7"/>
        <v>0</v>
      </c>
    </row>
    <row r="27" spans="1:32" ht="12.75" customHeight="1" x14ac:dyDescent="0.2">
      <c r="D27" s="619"/>
      <c r="E27" s="238">
        <f ca="1">IF(ISERROR(E26),IF(1+COUNTIF($L$13:OFFSET(L26,-1,0),1)&lt;=MAX(QCI!$D$13:$D$24),1+COUNTIF($L$13:OFFSET(L26,-1,0),1),-1),0)</f>
        <v>0</v>
      </c>
      <c r="F27" s="238" t="str">
        <f ca="1">IF(AND($E27&lt;&gt;-1,$R26&gt;0),"F","")</f>
        <v>F</v>
      </c>
      <c r="G27" s="251" t="str">
        <f ca="1">IF(OR(R26=0,R26=""),"vazia",IF(AND(OR(ACOMPANHAMENTO="PLE",$Q26&lt;&gt;2),$E27=0),"calculada","--&gt;"))</f>
        <v>--&gt;</v>
      </c>
      <c r="H27" s="252"/>
      <c r="I27" s="253" t="str">
        <f ca="1">IF(AND(G26&lt;&gt;0,ISNUMBER(G26)),"PREENCHA ESTA LINHA --&gt;","")</f>
        <v/>
      </c>
      <c r="J27" s="253"/>
      <c r="K27" s="253"/>
      <c r="L27" s="254"/>
      <c r="M27" s="254"/>
      <c r="N27" s="254"/>
      <c r="O27" s="254"/>
      <c r="P27" s="254"/>
      <c r="Q27" s="254"/>
      <c r="R27" s="255"/>
      <c r="S27" s="256"/>
      <c r="T27" s="620"/>
      <c r="U27" s="619">
        <v>1</v>
      </c>
      <c r="V27" s="619"/>
      <c r="W27" s="619"/>
      <c r="X27" s="619"/>
      <c r="Y27" s="619"/>
      <c r="Z27" s="619"/>
      <c r="AA27" s="619"/>
      <c r="AB27" s="619"/>
      <c r="AC27" s="619"/>
      <c r="AD27" s="619"/>
      <c r="AE27" s="621"/>
      <c r="AF27" s="579"/>
    </row>
    <row r="28" spans="1:32" ht="0.2" hidden="1" customHeight="1" x14ac:dyDescent="0.2">
      <c r="D28" s="257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8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8"/>
      <c r="R28" s="259" t="str">
        <f ca="1">L26&amp;"$"</f>
        <v>2$</v>
      </c>
      <c r="S28" s="260"/>
      <c r="T28" s="261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7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19631.05</v>
      </c>
      <c r="V28" s="257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7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7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7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7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7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7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7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7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2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hidden="1" x14ac:dyDescent="0.2">
      <c r="A29" s="238">
        <f ca="1">OFFSET(A29,-3,0)+1</f>
        <v>6</v>
      </c>
      <c r="B29" s="238">
        <f ca="1">IF($Q29&lt;&gt;2,0,IF($R29=0,1,IF(E30&gt;0,OFFSET(QCI!$M$13,SUBSTITUTE(E30,".",""),0),OFFSET(ORÇAMENTO!$AA$15,CRONO!$E29,0))/$R29))</f>
        <v>1</v>
      </c>
      <c r="C29" s="238">
        <f ca="1">IF($Q29&lt;&gt;2,0,IF($R29=0,1,IF(E30&gt;0,OFFSET(QCI!$N$13,SUBSTITUTE(E30,".",""),0),OFFSET(ORÇAMENTO!$AB$15,CRONO!$E29,0))/$R29))</f>
        <v>1</v>
      </c>
      <c r="D29" s="241">
        <f ca="1">IF(AND($Q29=2,ACOMPANHAMENTO="BM"),D30,D31/$R29)</f>
        <v>0</v>
      </c>
      <c r="E29" s="238" t="e">
        <f ca="1">IF(A29&lt;=ORÇAMENTO.MáximoListaCrono,MATCH(A29,ORÇAMENTO.ListaCrono,0),NA())</f>
        <v>#N/A</v>
      </c>
      <c r="F29" s="238" t="str">
        <f ca="1">IF(AND($E30&lt;&gt;-1,$R29&gt;0),"F","")</f>
        <v/>
      </c>
      <c r="G29" s="242" t="str">
        <f ca="1">IF(OR(R29=0,R29=""),"Linha",IF(AND(OR(ACOMPANHAMENTO="PLE",$Q29&lt;&gt;2),$E30=0),"Linha",1-SUM(T29:AF29)))</f>
        <v>Linha</v>
      </c>
      <c r="H29" s="243">
        <f ca="1">IF($E30=0,OFFSET(ORÇAMENTO!O$15,$E29,0),IF($E30&lt;&gt;-1,OFFSET(QCI!$D$13,$E30,0),""))</f>
        <v>2</v>
      </c>
      <c r="I29" s="244" t="str">
        <f ca="1">IF($E30=0,OFFSET(ORÇAMENTO!R$15,$E29,0),IF($E30&lt;&gt;-1,OFFSET(QCI!$G$13,$E30,0),""))</f>
        <v/>
      </c>
      <c r="J29" s="244"/>
      <c r="K29" s="244"/>
      <c r="L29" s="245">
        <f ca="1">IF($E30=0,OFFSET(ORÇAMENTO!C$15,$E29,0),1)</f>
        <v>1</v>
      </c>
      <c r="M29" s="246">
        <f ca="1">IF($E30=-1,0,IF(M$13&lt;=$L29,IF(ISERROR(MATCH(M$13,OFFSET($L29,1,0,ROW($L$164)-ROW($L29)-1),0)),ROW($L$164)-ROW($L29)-1,MATCH(M$13,OFFSET($L29,1,0,ROW($L$164)-ROW($L29)-1),0)-1),0))</f>
        <v>2</v>
      </c>
      <c r="N29" s="246">
        <f ca="1">IF($E30=-1,0,IF(N$13&lt;=$L29,IF(ISERROR(MATCH(N$13,OFFSET($L29,1,0,ROW($L$164)-ROW($L29)-1),0)),ROW($L$164)-ROW($L29)-1,MATCH(N$13,OFFSET($L29,1,0,ROW($L$164)-ROW($L29)-1),0)-1),0))</f>
        <v>0</v>
      </c>
      <c r="O29" s="246">
        <f ca="1">IF($E30=-1,0,IF(O$13&lt;=$L29,IF(ISERROR(MATCH(O$13,OFFSET($L29,1,0,ROW($L$164)-ROW($L29)-1),0)),ROW($L$164)-ROW($L29)-1,MATCH(O$13,OFFSET($L29,1,0,ROW($L$164)-ROW($L29)-1),0)-1),0))</f>
        <v>0</v>
      </c>
      <c r="P29" s="246">
        <f ca="1">IF($E30=-1,0,IF(P$13&lt;=$L29,IF(ISERROR(MATCH(P$13,OFFSET($L29,1,0,ROW($L$164)-ROW($L29)-1),0)),ROW($L$164)-ROW($L29)-1,MATCH(P$13,OFFSET($L29,1,0,ROW($L$164)-ROW($L29)-1),0)-1),0))</f>
        <v>0</v>
      </c>
      <c r="Q29" s="246">
        <f ca="1">MIN(OFFSET(L29,0,1,,L29))</f>
        <v>2</v>
      </c>
      <c r="R29" s="247">
        <f ca="1">IF($E30=0,OFFSET(ORÇAMENTO!X$15,$E29,0),IF($E30&lt;&gt;-1,OFFSET(QCI!$O$13,$E30,0),""))</f>
        <v>0</v>
      </c>
      <c r="S29" s="248" t="s">
        <v>269</v>
      </c>
      <c r="T29" s="249">
        <f t="shared" ref="T29:AE29" ca="1" si="8">IF(AND($Q29=2,ACOMPANHAMENTO="BM"),T30,T31/$R29)</f>
        <v>0</v>
      </c>
      <c r="U29" s="241">
        <f t="shared" ca="1" si="8"/>
        <v>0</v>
      </c>
      <c r="V29" s="241">
        <f t="shared" ca="1" si="8"/>
        <v>0</v>
      </c>
      <c r="W29" s="241">
        <f t="shared" ca="1" si="8"/>
        <v>0</v>
      </c>
      <c r="X29" s="241">
        <f t="shared" ca="1" si="8"/>
        <v>0</v>
      </c>
      <c r="Y29" s="241">
        <f t="shared" ca="1" si="8"/>
        <v>0</v>
      </c>
      <c r="Z29" s="241">
        <f t="shared" ca="1" si="8"/>
        <v>0</v>
      </c>
      <c r="AA29" s="241">
        <f t="shared" ca="1" si="8"/>
        <v>0</v>
      </c>
      <c r="AB29" s="241">
        <f t="shared" ca="1" si="8"/>
        <v>0</v>
      </c>
      <c r="AC29" s="241">
        <f t="shared" ca="1" si="8"/>
        <v>0</v>
      </c>
      <c r="AD29" s="241">
        <f t="shared" ca="1" si="8"/>
        <v>0</v>
      </c>
      <c r="AE29" s="250">
        <f t="shared" ca="1" si="8"/>
        <v>0</v>
      </c>
    </row>
    <row r="30" spans="1:32" ht="12.75" hidden="1" customHeight="1" x14ac:dyDescent="0.2">
      <c r="D30" s="619"/>
      <c r="E30" s="238">
        <f ca="1">IF(ISERROR(E29),IF(1+COUNTIF($L$13:OFFSET(L29,-1,0),1)&lt;=MAX(QCI!$D$13:$D$24),1+COUNTIF($L$13:OFFSET(L29,-1,0),1),-1),0)</f>
        <v>2</v>
      </c>
      <c r="F30" s="238" t="str">
        <f ca="1">IF(AND($E30&lt;&gt;-1,$R29&gt;0),"F","")</f>
        <v/>
      </c>
      <c r="G30" s="251" t="str">
        <f ca="1">IF(OR(R29=0,R29=""),"vazia",IF(AND(OR(ACOMPANHAMENTO="PLE",$Q29&lt;&gt;2),$E30=0),"calculada","--&gt;"))</f>
        <v>vazia</v>
      </c>
      <c r="H30" s="252"/>
      <c r="I30" s="253" t="str">
        <f ca="1">IF(AND(G29&lt;&gt;0,ISNUMBER(G29)),"PREENCHA ESTA LINHA --&gt;","")</f>
        <v/>
      </c>
      <c r="J30" s="253"/>
      <c r="K30" s="253"/>
      <c r="L30" s="254"/>
      <c r="M30" s="254"/>
      <c r="N30" s="254"/>
      <c r="O30" s="254"/>
      <c r="P30" s="254"/>
      <c r="Q30" s="254"/>
      <c r="R30" s="255"/>
      <c r="S30" s="256"/>
      <c r="T30" s="620"/>
      <c r="U30" s="619"/>
      <c r="V30" s="619"/>
      <c r="W30" s="619"/>
      <c r="X30" s="619"/>
      <c r="Y30" s="619"/>
      <c r="Z30" s="619"/>
      <c r="AA30" s="619"/>
      <c r="AB30" s="619"/>
      <c r="AC30" s="619"/>
      <c r="AD30" s="619"/>
      <c r="AE30" s="621"/>
      <c r="AF30" s="579"/>
    </row>
    <row r="31" spans="1:32" ht="0.2" hidden="1" customHeight="1" x14ac:dyDescent="0.2">
      <c r="D31" s="257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8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8"/>
      <c r="R31" s="259" t="str">
        <f ca="1">L29&amp;"$"</f>
        <v>1$</v>
      </c>
      <c r="S31" s="260"/>
      <c r="T31" s="261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7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7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7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7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7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7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7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7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7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7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2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hidden="1" x14ac:dyDescent="0.2">
      <c r="A32" s="238">
        <f ca="1">OFFSET(A32,-3,0)+1</f>
        <v>7</v>
      </c>
      <c r="B32" s="238">
        <f ca="1">IF($Q32&lt;&gt;2,0,IF($R32=0,1,IF(E33&gt;0,OFFSET(QCI!$M$13,SUBSTITUTE(E33,".",""),0),OFFSET(ORÇAMENTO!$AA$15,CRONO!$E32,0))/$R32))</f>
        <v>1</v>
      </c>
      <c r="C32" s="238">
        <f ca="1">IF($Q32&lt;&gt;2,0,IF($R32=0,1,IF(E33&gt;0,OFFSET(QCI!$N$13,SUBSTITUTE(E33,".",""),0),OFFSET(ORÇAMENTO!$AB$15,CRONO!$E32,0))/$R32))</f>
        <v>1</v>
      </c>
      <c r="D32" s="241">
        <f ca="1">IF(AND($Q32=2,ACOMPANHAMENTO="BM"),D33,D34/$R32)</f>
        <v>0</v>
      </c>
      <c r="E32" s="238" t="e">
        <f ca="1">IF(A32&lt;=ORÇAMENTO.MáximoListaCrono,MATCH(A32,ORÇAMENTO.ListaCrono,0),NA())</f>
        <v>#N/A</v>
      </c>
      <c r="F32" s="238" t="str">
        <f ca="1">IF(AND($E33&lt;&gt;-1,$R32&gt;0),"F","")</f>
        <v/>
      </c>
      <c r="G32" s="242" t="str">
        <f ca="1">IF(OR(R32=0,R32=""),"Linha",IF(AND(OR(ACOMPANHAMENTO="PLE",$Q32&lt;&gt;2),$E33=0),"Linha",1-SUM(T32:AF32)))</f>
        <v>Linha</v>
      </c>
      <c r="H32" s="243">
        <f ca="1">IF($E33=0,OFFSET(ORÇAMENTO!O$15,$E32,0),IF($E33&lt;&gt;-1,OFFSET(QCI!$D$13,$E33,0),""))</f>
        <v>3</v>
      </c>
      <c r="I32" s="244" t="str">
        <f ca="1">IF($E33=0,OFFSET(ORÇAMENTO!R$15,$E32,0),IF($E33&lt;&gt;-1,OFFSET(QCI!$G$13,$E33,0),""))</f>
        <v/>
      </c>
      <c r="J32" s="244"/>
      <c r="K32" s="244"/>
      <c r="L32" s="245">
        <f ca="1">IF($E33=0,OFFSET(ORÇAMENTO!C$15,$E32,0),1)</f>
        <v>1</v>
      </c>
      <c r="M32" s="246">
        <f ca="1">IF($E33=-1,0,IF(M$13&lt;=$L32,IF(ISERROR(MATCH(M$13,OFFSET($L32,1,0,ROW($L$164)-ROW($L32)-1),0)),ROW($L$164)-ROW($L32)-1,MATCH(M$13,OFFSET($L32,1,0,ROW($L$164)-ROW($L32)-1),0)-1),0))</f>
        <v>2</v>
      </c>
      <c r="N32" s="246">
        <f ca="1">IF($E33=-1,0,IF(N$13&lt;=$L32,IF(ISERROR(MATCH(N$13,OFFSET($L32,1,0,ROW($L$164)-ROW($L32)-1),0)),ROW($L$164)-ROW($L32)-1,MATCH(N$13,OFFSET($L32,1,0,ROW($L$164)-ROW($L32)-1),0)-1),0))</f>
        <v>0</v>
      </c>
      <c r="O32" s="246">
        <f ca="1">IF($E33=-1,0,IF(O$13&lt;=$L32,IF(ISERROR(MATCH(O$13,OFFSET($L32,1,0,ROW($L$164)-ROW($L32)-1),0)),ROW($L$164)-ROW($L32)-1,MATCH(O$13,OFFSET($L32,1,0,ROW($L$164)-ROW($L32)-1),0)-1),0))</f>
        <v>0</v>
      </c>
      <c r="P32" s="246">
        <f ca="1">IF($E33=-1,0,IF(P$13&lt;=$L32,IF(ISERROR(MATCH(P$13,OFFSET($L32,1,0,ROW($L$164)-ROW($L32)-1),0)),ROW($L$164)-ROW($L32)-1,MATCH(P$13,OFFSET($L32,1,0,ROW($L$164)-ROW($L32)-1),0)-1),0))</f>
        <v>0</v>
      </c>
      <c r="Q32" s="246">
        <f ca="1">MIN(OFFSET(L32,0,1,,L32))</f>
        <v>2</v>
      </c>
      <c r="R32" s="247">
        <f ca="1">IF($E33=0,OFFSET(ORÇAMENTO!X$15,$E32,0),IF($E33&lt;&gt;-1,OFFSET(QCI!$O$13,$E33,0),""))</f>
        <v>0</v>
      </c>
      <c r="S32" s="248" t="s">
        <v>269</v>
      </c>
      <c r="T32" s="249">
        <f t="shared" ref="T32:AE32" ca="1" si="9">IF(AND($Q32=2,ACOMPANHAMENTO="BM"),T33,T34/$R32)</f>
        <v>0</v>
      </c>
      <c r="U32" s="241">
        <f t="shared" ca="1" si="9"/>
        <v>0</v>
      </c>
      <c r="V32" s="241">
        <f t="shared" ca="1" si="9"/>
        <v>0</v>
      </c>
      <c r="W32" s="241">
        <f t="shared" ca="1" si="9"/>
        <v>0</v>
      </c>
      <c r="X32" s="241">
        <f t="shared" ca="1" si="9"/>
        <v>0</v>
      </c>
      <c r="Y32" s="241">
        <f t="shared" ca="1" si="9"/>
        <v>0</v>
      </c>
      <c r="Z32" s="241">
        <f t="shared" ca="1" si="9"/>
        <v>0</v>
      </c>
      <c r="AA32" s="241">
        <f t="shared" ca="1" si="9"/>
        <v>0</v>
      </c>
      <c r="AB32" s="241">
        <f t="shared" ca="1" si="9"/>
        <v>0</v>
      </c>
      <c r="AC32" s="241">
        <f t="shared" ca="1" si="9"/>
        <v>0</v>
      </c>
      <c r="AD32" s="241">
        <f t="shared" ca="1" si="9"/>
        <v>0</v>
      </c>
      <c r="AE32" s="250">
        <f t="shared" ca="1" si="9"/>
        <v>0</v>
      </c>
    </row>
    <row r="33" spans="1:32" ht="12.75" hidden="1" customHeight="1" x14ac:dyDescent="0.2">
      <c r="D33" s="619"/>
      <c r="E33" s="238">
        <f ca="1">IF(ISERROR(E32),IF(1+COUNTIF($L$13:OFFSET(L32,-1,0),1)&lt;=MAX(QCI!$D$13:$D$24),1+COUNTIF($L$13:OFFSET(L32,-1,0),1),-1),0)</f>
        <v>3</v>
      </c>
      <c r="F33" s="238" t="str">
        <f ca="1">IF(AND($E33&lt;&gt;-1,$R32&gt;0),"F","")</f>
        <v/>
      </c>
      <c r="G33" s="251" t="str">
        <f ca="1">IF(OR(R32=0,R32=""),"vazia",IF(AND(OR(ACOMPANHAMENTO="PLE",$Q32&lt;&gt;2),$E33=0),"calculada","--&gt;"))</f>
        <v>vazia</v>
      </c>
      <c r="H33" s="252"/>
      <c r="I33" s="253" t="str">
        <f ca="1">IF(AND(G32&lt;&gt;0,ISNUMBER(G32)),"PREENCHA ESTA LINHA --&gt;","")</f>
        <v/>
      </c>
      <c r="J33" s="253"/>
      <c r="K33" s="253"/>
      <c r="L33" s="254"/>
      <c r="M33" s="254"/>
      <c r="N33" s="254"/>
      <c r="O33" s="254"/>
      <c r="P33" s="254"/>
      <c r="Q33" s="254"/>
      <c r="R33" s="255"/>
      <c r="S33" s="256"/>
      <c r="T33" s="620"/>
      <c r="U33" s="619"/>
      <c r="V33" s="619"/>
      <c r="W33" s="619"/>
      <c r="X33" s="619"/>
      <c r="Y33" s="619"/>
      <c r="Z33" s="619"/>
      <c r="AA33" s="619"/>
      <c r="AB33" s="619"/>
      <c r="AC33" s="619"/>
      <c r="AD33" s="619"/>
      <c r="AE33" s="621"/>
      <c r="AF33" s="579"/>
    </row>
    <row r="34" spans="1:32" ht="0.2" hidden="1" customHeight="1" x14ac:dyDescent="0.2">
      <c r="D34" s="257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8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8"/>
      <c r="R34" s="259" t="str">
        <f ca="1">L32&amp;"$"</f>
        <v>1$</v>
      </c>
      <c r="S34" s="260"/>
      <c r="T34" s="261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7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7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7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7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7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7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7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7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7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7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2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hidden="1" x14ac:dyDescent="0.2">
      <c r="A35" s="238">
        <f ca="1">OFFSET(A35,-3,0)+1</f>
        <v>8</v>
      </c>
      <c r="B35" s="238">
        <f ca="1">IF($Q35&lt;&gt;2,0,IF($R35=0,1,IF(E36&gt;0,OFFSET(QCI!$M$13,SUBSTITUTE(E36,".",""),0),OFFSET(ORÇAMENTO!$AA$15,CRONO!$E35,0))/$R35))</f>
        <v>1</v>
      </c>
      <c r="C35" s="238">
        <f ca="1">IF($Q35&lt;&gt;2,0,IF($R35=0,1,IF(E36&gt;0,OFFSET(QCI!$N$13,SUBSTITUTE(E36,".",""),0),OFFSET(ORÇAMENTO!$AB$15,CRONO!$E35,0))/$R35))</f>
        <v>1</v>
      </c>
      <c r="D35" s="241">
        <f ca="1">IF(AND($Q35=2,ACOMPANHAMENTO="BM"),D36,D37/$R35)</f>
        <v>0</v>
      </c>
      <c r="E35" s="238" t="e">
        <f ca="1">IF(A35&lt;=ORÇAMENTO.MáximoListaCrono,MATCH(A35,ORÇAMENTO.ListaCrono,0),NA())</f>
        <v>#N/A</v>
      </c>
      <c r="F35" s="238" t="str">
        <f ca="1">IF(AND($E36&lt;&gt;-1,$R35&gt;0),"F","")</f>
        <v/>
      </c>
      <c r="G35" s="242" t="str">
        <f ca="1">IF(OR(R35=0,R35=""),"Linha",IF(AND(OR(ACOMPANHAMENTO="PLE",$Q35&lt;&gt;2),$E36=0),"Linha",1-SUM(T35:AF35)))</f>
        <v>Linha</v>
      </c>
      <c r="H35" s="243">
        <f ca="1">IF($E36=0,OFFSET(ORÇAMENTO!O$15,$E35,0),IF($E36&lt;&gt;-1,OFFSET(QCI!$D$13,$E36,0),""))</f>
        <v>4</v>
      </c>
      <c r="I35" s="244" t="str">
        <f ca="1">IF($E36=0,OFFSET(ORÇAMENTO!R$15,$E35,0),IF($E36&lt;&gt;-1,OFFSET(QCI!$G$13,$E36,0),""))</f>
        <v/>
      </c>
      <c r="J35" s="244"/>
      <c r="K35" s="244"/>
      <c r="L35" s="245">
        <f ca="1">IF($E36=0,OFFSET(ORÇAMENTO!C$15,$E35,0),1)</f>
        <v>1</v>
      </c>
      <c r="M35" s="246">
        <f ca="1">IF($E36=-1,0,IF(M$13&lt;=$L35,IF(ISERROR(MATCH(M$13,OFFSET($L35,1,0,ROW($L$164)-ROW($L35)-1),0)),ROW($L$164)-ROW($L35)-1,MATCH(M$13,OFFSET($L35,1,0,ROW($L$164)-ROW($L35)-1),0)-1),0))</f>
        <v>2</v>
      </c>
      <c r="N35" s="246">
        <f ca="1">IF($E36=-1,0,IF(N$13&lt;=$L35,IF(ISERROR(MATCH(N$13,OFFSET($L35,1,0,ROW($L$164)-ROW($L35)-1),0)),ROW($L$164)-ROW($L35)-1,MATCH(N$13,OFFSET($L35,1,0,ROW($L$164)-ROW($L35)-1),0)-1),0))</f>
        <v>0</v>
      </c>
      <c r="O35" s="246">
        <f ca="1">IF($E36=-1,0,IF(O$13&lt;=$L35,IF(ISERROR(MATCH(O$13,OFFSET($L35,1,0,ROW($L$164)-ROW($L35)-1),0)),ROW($L$164)-ROW($L35)-1,MATCH(O$13,OFFSET($L35,1,0,ROW($L$164)-ROW($L35)-1),0)-1),0))</f>
        <v>0</v>
      </c>
      <c r="P35" s="246">
        <f ca="1">IF($E36=-1,0,IF(P$13&lt;=$L35,IF(ISERROR(MATCH(P$13,OFFSET($L35,1,0,ROW($L$164)-ROW($L35)-1),0)),ROW($L$164)-ROW($L35)-1,MATCH(P$13,OFFSET($L35,1,0,ROW($L$164)-ROW($L35)-1),0)-1),0))</f>
        <v>0</v>
      </c>
      <c r="Q35" s="246">
        <f ca="1">MIN(OFFSET(L35,0,1,,L35))</f>
        <v>2</v>
      </c>
      <c r="R35" s="247">
        <f ca="1">IF($E36=0,OFFSET(ORÇAMENTO!X$15,$E35,0),IF($E36&lt;&gt;-1,OFFSET(QCI!$O$13,$E36,0),""))</f>
        <v>0</v>
      </c>
      <c r="S35" s="248" t="s">
        <v>269</v>
      </c>
      <c r="T35" s="249">
        <f t="shared" ref="T35:AE35" ca="1" si="10">IF(AND($Q35=2,ACOMPANHAMENTO="BM"),T36,T37/$R35)</f>
        <v>0</v>
      </c>
      <c r="U35" s="241">
        <f t="shared" ca="1" si="10"/>
        <v>0</v>
      </c>
      <c r="V35" s="241">
        <f t="shared" ca="1" si="10"/>
        <v>0</v>
      </c>
      <c r="W35" s="241">
        <f t="shared" ca="1" si="10"/>
        <v>0</v>
      </c>
      <c r="X35" s="241">
        <f t="shared" ca="1" si="10"/>
        <v>0</v>
      </c>
      <c r="Y35" s="241">
        <f t="shared" ca="1" si="10"/>
        <v>0</v>
      </c>
      <c r="Z35" s="241">
        <f t="shared" ca="1" si="10"/>
        <v>0</v>
      </c>
      <c r="AA35" s="241">
        <f t="shared" ca="1" si="10"/>
        <v>0</v>
      </c>
      <c r="AB35" s="241">
        <f t="shared" ca="1" si="10"/>
        <v>0</v>
      </c>
      <c r="AC35" s="241">
        <f t="shared" ca="1" si="10"/>
        <v>0</v>
      </c>
      <c r="AD35" s="241">
        <f t="shared" ca="1" si="10"/>
        <v>0</v>
      </c>
      <c r="AE35" s="250">
        <f t="shared" ca="1" si="10"/>
        <v>0</v>
      </c>
    </row>
    <row r="36" spans="1:32" ht="12.75" hidden="1" customHeight="1" x14ac:dyDescent="0.2">
      <c r="D36" s="619"/>
      <c r="E36" s="238">
        <f ca="1">IF(ISERROR(E35),IF(1+COUNTIF($L$13:OFFSET(L35,-1,0),1)&lt;=MAX(QCI!$D$13:$D$24),1+COUNTIF($L$13:OFFSET(L35,-1,0),1),-1),0)</f>
        <v>4</v>
      </c>
      <c r="F36" s="238" t="str">
        <f ca="1">IF(AND($E36&lt;&gt;-1,$R35&gt;0),"F","")</f>
        <v/>
      </c>
      <c r="G36" s="251" t="str">
        <f ca="1">IF(OR(R35=0,R35=""),"vazia",IF(AND(OR(ACOMPANHAMENTO="PLE",$Q35&lt;&gt;2),$E36=0),"calculada","--&gt;"))</f>
        <v>vazia</v>
      </c>
      <c r="H36" s="252"/>
      <c r="I36" s="253" t="str">
        <f ca="1">IF(AND(G35&lt;&gt;0,ISNUMBER(G35)),"PREENCHA ESTA LINHA --&gt;","")</f>
        <v/>
      </c>
      <c r="J36" s="253"/>
      <c r="K36" s="253"/>
      <c r="L36" s="254"/>
      <c r="M36" s="254"/>
      <c r="N36" s="254"/>
      <c r="O36" s="254"/>
      <c r="P36" s="254"/>
      <c r="Q36" s="254"/>
      <c r="R36" s="255"/>
      <c r="S36" s="256"/>
      <c r="T36" s="620"/>
      <c r="U36" s="619"/>
      <c r="V36" s="619"/>
      <c r="W36" s="619"/>
      <c r="X36" s="619"/>
      <c r="Y36" s="619"/>
      <c r="Z36" s="619"/>
      <c r="AA36" s="619"/>
      <c r="AB36" s="619"/>
      <c r="AC36" s="619"/>
      <c r="AD36" s="619"/>
      <c r="AE36" s="621"/>
      <c r="AF36" s="579"/>
    </row>
    <row r="37" spans="1:32" ht="0.2" hidden="1" customHeight="1" x14ac:dyDescent="0.2">
      <c r="D37" s="257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8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8"/>
      <c r="R37" s="259" t="str">
        <f ca="1">L35&amp;"$"</f>
        <v>1$</v>
      </c>
      <c r="S37" s="260"/>
      <c r="T37" s="261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7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7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7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7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7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7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7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7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7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7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2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hidden="1" x14ac:dyDescent="0.2">
      <c r="A38" s="238">
        <f ca="1">OFFSET(A38,-3,0)+1</f>
        <v>9</v>
      </c>
      <c r="B38" s="238">
        <f ca="1">IF($Q38&lt;&gt;2,0,IF($R38=0,1,IF(E39&gt;0,OFFSET(QCI!$M$13,SUBSTITUTE(E39,".",""),0),OFFSET(ORÇAMENTO!$AA$15,CRONO!$E38,0))/$R38))</f>
        <v>1</v>
      </c>
      <c r="C38" s="238">
        <f ca="1">IF($Q38&lt;&gt;2,0,IF($R38=0,1,IF(E39&gt;0,OFFSET(QCI!$N$13,SUBSTITUTE(E39,".",""),0),OFFSET(ORÇAMENTO!$AB$15,CRONO!$E38,0))/$R38))</f>
        <v>1</v>
      </c>
      <c r="D38" s="241">
        <f ca="1">IF(AND($Q38=2,ACOMPANHAMENTO="BM"),D39,D40/$R38)</f>
        <v>0</v>
      </c>
      <c r="E38" s="238" t="e">
        <f ca="1">IF(A38&lt;=ORÇAMENTO.MáximoListaCrono,MATCH(A38,ORÇAMENTO.ListaCrono,0),NA())</f>
        <v>#N/A</v>
      </c>
      <c r="F38" s="238" t="str">
        <f ca="1">IF(AND($E39&lt;&gt;-1,$R38&gt;0),"F","")</f>
        <v/>
      </c>
      <c r="G38" s="242" t="str">
        <f ca="1">IF(OR(R38=0,R38=""),"Linha",IF(AND(OR(ACOMPANHAMENTO="PLE",$Q38&lt;&gt;2),$E39=0),"Linha",1-SUM(T38:AF38)))</f>
        <v>Linha</v>
      </c>
      <c r="H38" s="243">
        <f ca="1">IF($E39=0,OFFSET(ORÇAMENTO!O$15,$E38,0),IF($E39&lt;&gt;-1,OFFSET(QCI!$D$13,$E39,0),""))</f>
        <v>5</v>
      </c>
      <c r="I38" s="244" t="str">
        <f ca="1">IF($E39=0,OFFSET(ORÇAMENTO!R$15,$E38,0),IF($E39&lt;&gt;-1,OFFSET(QCI!$G$13,$E39,0),""))</f>
        <v/>
      </c>
      <c r="J38" s="244"/>
      <c r="K38" s="244"/>
      <c r="L38" s="245">
        <f ca="1">IF($E39=0,OFFSET(ORÇAMENTO!C$15,$E38,0),1)</f>
        <v>1</v>
      </c>
      <c r="M38" s="246">
        <f ca="1">IF($E39=-1,0,IF(M$13&lt;=$L38,IF(ISERROR(MATCH(M$13,OFFSET($L38,1,0,ROW($L$164)-ROW($L38)-1),0)),ROW($L$164)-ROW($L38)-1,MATCH(M$13,OFFSET($L38,1,0,ROW($L$164)-ROW($L38)-1),0)-1),0))</f>
        <v>2</v>
      </c>
      <c r="N38" s="246">
        <f ca="1">IF($E39=-1,0,IF(N$13&lt;=$L38,IF(ISERROR(MATCH(N$13,OFFSET($L38,1,0,ROW($L$164)-ROW($L38)-1),0)),ROW($L$164)-ROW($L38)-1,MATCH(N$13,OFFSET($L38,1,0,ROW($L$164)-ROW($L38)-1),0)-1),0))</f>
        <v>0</v>
      </c>
      <c r="O38" s="246">
        <f ca="1">IF($E39=-1,0,IF(O$13&lt;=$L38,IF(ISERROR(MATCH(O$13,OFFSET($L38,1,0,ROW($L$164)-ROW($L38)-1),0)),ROW($L$164)-ROW($L38)-1,MATCH(O$13,OFFSET($L38,1,0,ROW($L$164)-ROW($L38)-1),0)-1),0))</f>
        <v>0</v>
      </c>
      <c r="P38" s="246">
        <f ca="1">IF($E39=-1,0,IF(P$13&lt;=$L38,IF(ISERROR(MATCH(P$13,OFFSET($L38,1,0,ROW($L$164)-ROW($L38)-1),0)),ROW($L$164)-ROW($L38)-1,MATCH(P$13,OFFSET($L38,1,0,ROW($L$164)-ROW($L38)-1),0)-1),0))</f>
        <v>0</v>
      </c>
      <c r="Q38" s="246">
        <f ca="1">MIN(OFFSET(L38,0,1,,L38))</f>
        <v>2</v>
      </c>
      <c r="R38" s="247">
        <f ca="1">IF($E39=0,OFFSET(ORÇAMENTO!X$15,$E38,0),IF($E39&lt;&gt;-1,OFFSET(QCI!$O$13,$E39,0),""))</f>
        <v>0</v>
      </c>
      <c r="S38" s="248" t="s">
        <v>269</v>
      </c>
      <c r="T38" s="249">
        <f t="shared" ref="T38:AE38" ca="1" si="11">IF(AND($Q38=2,ACOMPANHAMENTO="BM"),T39,T40/$R38)</f>
        <v>0</v>
      </c>
      <c r="U38" s="241">
        <f t="shared" ca="1" si="11"/>
        <v>0</v>
      </c>
      <c r="V38" s="241">
        <f t="shared" ca="1" si="11"/>
        <v>0</v>
      </c>
      <c r="W38" s="241">
        <f t="shared" ca="1" si="11"/>
        <v>0</v>
      </c>
      <c r="X38" s="241">
        <f t="shared" ca="1" si="11"/>
        <v>0</v>
      </c>
      <c r="Y38" s="241">
        <f t="shared" ca="1" si="11"/>
        <v>0</v>
      </c>
      <c r="Z38" s="241">
        <f t="shared" ca="1" si="11"/>
        <v>0</v>
      </c>
      <c r="AA38" s="241">
        <f t="shared" ca="1" si="11"/>
        <v>0</v>
      </c>
      <c r="AB38" s="241">
        <f t="shared" ca="1" si="11"/>
        <v>0</v>
      </c>
      <c r="AC38" s="241">
        <f t="shared" ca="1" si="11"/>
        <v>0</v>
      </c>
      <c r="AD38" s="241">
        <f t="shared" ca="1" si="11"/>
        <v>0</v>
      </c>
      <c r="AE38" s="250">
        <f t="shared" ca="1" si="11"/>
        <v>0</v>
      </c>
    </row>
    <row r="39" spans="1:32" ht="12.75" hidden="1" customHeight="1" x14ac:dyDescent="0.2">
      <c r="D39" s="619"/>
      <c r="E39" s="238">
        <f ca="1">IF(ISERROR(E38),IF(1+COUNTIF($L$13:OFFSET(L38,-1,0),1)&lt;=MAX(QCI!$D$13:$D$24),1+COUNTIF($L$13:OFFSET(L38,-1,0),1),-1),0)</f>
        <v>5</v>
      </c>
      <c r="F39" s="238" t="str">
        <f ca="1">IF(AND($E39&lt;&gt;-1,$R38&gt;0),"F","")</f>
        <v/>
      </c>
      <c r="G39" s="251" t="str">
        <f ca="1">IF(OR(R38=0,R38=""),"vazia",IF(AND(OR(ACOMPANHAMENTO="PLE",$Q38&lt;&gt;2),$E39=0),"calculada","--&gt;"))</f>
        <v>vazia</v>
      </c>
      <c r="H39" s="252"/>
      <c r="I39" s="253" t="str">
        <f ca="1">IF(AND(G38&lt;&gt;0,ISNUMBER(G38)),"PREENCHA ESTA LINHA --&gt;","")</f>
        <v/>
      </c>
      <c r="J39" s="253"/>
      <c r="K39" s="253"/>
      <c r="L39" s="254"/>
      <c r="M39" s="254"/>
      <c r="N39" s="254"/>
      <c r="O39" s="254"/>
      <c r="P39" s="254"/>
      <c r="Q39" s="254"/>
      <c r="R39" s="255"/>
      <c r="S39" s="256"/>
      <c r="T39" s="620"/>
      <c r="U39" s="619"/>
      <c r="V39" s="619"/>
      <c r="W39" s="619"/>
      <c r="X39" s="619"/>
      <c r="Y39" s="619"/>
      <c r="Z39" s="619"/>
      <c r="AA39" s="619"/>
      <c r="AB39" s="619"/>
      <c r="AC39" s="619"/>
      <c r="AD39" s="619"/>
      <c r="AE39" s="621"/>
      <c r="AF39" s="579"/>
    </row>
    <row r="40" spans="1:32" ht="0.2" hidden="1" customHeight="1" x14ac:dyDescent="0.2">
      <c r="D40" s="257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8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8"/>
      <c r="R40" s="259" t="str">
        <f ca="1">L38&amp;"$"</f>
        <v>1$</v>
      </c>
      <c r="S40" s="260"/>
      <c r="T40" s="261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7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7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7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7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7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7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7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7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7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7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2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8">
        <f ca="1">OFFSET(A41,-3,0)+1</f>
        <v>10</v>
      </c>
      <c r="B41" s="238">
        <f ca="1">IF($Q41&lt;&gt;2,0,IF($R41=0,1,IF(E42&gt;0,OFFSET(QCI!$M$13,SUBSTITUTE(E42,".",""),0),OFFSET(ORÇAMENTO!$AA$15,CRONO!$E41,0))/$R41))</f>
        <v>1</v>
      </c>
      <c r="C41" s="238">
        <f ca="1">IF($Q41&lt;&gt;2,0,IF($R41=0,1,IF(E42&gt;0,OFFSET(QCI!$N$13,SUBSTITUTE(E42,".",""),0),OFFSET(ORÇAMENTO!$AB$15,CRONO!$E41,0))/$R41))</f>
        <v>1</v>
      </c>
      <c r="D41" s="241">
        <f ca="1">IF(AND($Q41=2,ACOMPANHAMENTO="BM"),D42,D43/$R41)</f>
        <v>0</v>
      </c>
      <c r="E41" s="238" t="e">
        <f ca="1">IF(A41&lt;=ORÇAMENTO.MáximoListaCrono,MATCH(A41,ORÇAMENTO.ListaCrono,0),NA())</f>
        <v>#N/A</v>
      </c>
      <c r="F41" s="238" t="str">
        <f ca="1">IF(AND($E42&lt;&gt;-1,$R41&gt;0),"F","")</f>
        <v/>
      </c>
      <c r="G41" s="242" t="str">
        <f ca="1">IF(OR(R41=0,R41=""),"Linha",IF(AND(OR(ACOMPANHAMENTO="PLE",$Q41&lt;&gt;2),$E42=0),"Linha",1-SUM(T41:AF41)))</f>
        <v>Linha</v>
      </c>
      <c r="H41" s="243">
        <f ca="1">IF($E42=0,OFFSET(ORÇAMENTO!O$15,$E41,0),IF($E42&lt;&gt;-1,OFFSET(QCI!$D$13,$E42,0),""))</f>
        <v>6</v>
      </c>
      <c r="I41" s="244" t="str">
        <f ca="1">IF($E42=0,OFFSET(ORÇAMENTO!R$15,$E41,0),IF($E42&lt;&gt;-1,OFFSET(QCI!$G$13,$E42,0),""))</f>
        <v/>
      </c>
      <c r="J41" s="244"/>
      <c r="K41" s="244"/>
      <c r="L41" s="245">
        <f ca="1">IF($E42=0,OFFSET(ORÇAMENTO!C$15,$E41,0),1)</f>
        <v>1</v>
      </c>
      <c r="M41" s="246">
        <f ca="1">IF($E42=-1,0,IF(M$13&lt;=$L41,IF(ISERROR(MATCH(M$13,OFFSET($L41,1,0,ROW($L$164)-ROW($L41)-1),0)),ROW($L$164)-ROW($L41)-1,MATCH(M$13,OFFSET($L41,1,0,ROW($L$164)-ROW($L41)-1),0)-1),0))</f>
        <v>2</v>
      </c>
      <c r="N41" s="246">
        <f ca="1">IF($E42=-1,0,IF(N$13&lt;=$L41,IF(ISERROR(MATCH(N$13,OFFSET($L41,1,0,ROW($L$164)-ROW($L41)-1),0)),ROW($L$164)-ROW($L41)-1,MATCH(N$13,OFFSET($L41,1,0,ROW($L$164)-ROW($L41)-1),0)-1),0))</f>
        <v>0</v>
      </c>
      <c r="O41" s="246">
        <f ca="1">IF($E42=-1,0,IF(O$13&lt;=$L41,IF(ISERROR(MATCH(O$13,OFFSET($L41,1,0,ROW($L$164)-ROW($L41)-1),0)),ROW($L$164)-ROW($L41)-1,MATCH(O$13,OFFSET($L41,1,0,ROW($L$164)-ROW($L41)-1),0)-1),0))</f>
        <v>0</v>
      </c>
      <c r="P41" s="246">
        <f ca="1">IF($E42=-1,0,IF(P$13&lt;=$L41,IF(ISERROR(MATCH(P$13,OFFSET($L41,1,0,ROW($L$164)-ROW($L41)-1),0)),ROW($L$164)-ROW($L41)-1,MATCH(P$13,OFFSET($L41,1,0,ROW($L$164)-ROW($L41)-1),0)-1),0))</f>
        <v>0</v>
      </c>
      <c r="Q41" s="246">
        <f ca="1">MIN(OFFSET(L41,0,1,,L41))</f>
        <v>2</v>
      </c>
      <c r="R41" s="247">
        <f ca="1">IF($E42=0,OFFSET(ORÇAMENTO!X$15,$E41,0),IF($E42&lt;&gt;-1,OFFSET(QCI!$O$13,$E42,0),""))</f>
        <v>0</v>
      </c>
      <c r="S41" s="248" t="s">
        <v>269</v>
      </c>
      <c r="T41" s="249">
        <f t="shared" ref="T41:AE41" ca="1" si="12">IF(AND($Q41=2,ACOMPANHAMENTO="BM"),T42,T43/$R41)</f>
        <v>0</v>
      </c>
      <c r="U41" s="241">
        <f t="shared" ca="1" si="12"/>
        <v>0</v>
      </c>
      <c r="V41" s="241">
        <f t="shared" ca="1" si="12"/>
        <v>0</v>
      </c>
      <c r="W41" s="241">
        <f t="shared" ca="1" si="12"/>
        <v>0</v>
      </c>
      <c r="X41" s="241">
        <f t="shared" ca="1" si="12"/>
        <v>0</v>
      </c>
      <c r="Y41" s="241">
        <f t="shared" ca="1" si="12"/>
        <v>0</v>
      </c>
      <c r="Z41" s="241">
        <f t="shared" ca="1" si="12"/>
        <v>0</v>
      </c>
      <c r="AA41" s="241">
        <f t="shared" ca="1" si="12"/>
        <v>0</v>
      </c>
      <c r="AB41" s="241">
        <f t="shared" ca="1" si="12"/>
        <v>0</v>
      </c>
      <c r="AC41" s="241">
        <f t="shared" ca="1" si="12"/>
        <v>0</v>
      </c>
      <c r="AD41" s="241">
        <f t="shared" ca="1" si="12"/>
        <v>0</v>
      </c>
      <c r="AE41" s="250">
        <f t="shared" ca="1" si="12"/>
        <v>0</v>
      </c>
    </row>
    <row r="42" spans="1:32" ht="12.75" hidden="1" customHeight="1" x14ac:dyDescent="0.2">
      <c r="D42" s="619"/>
      <c r="E42" s="238">
        <f ca="1">IF(ISERROR(E41),IF(1+COUNTIF($L$13:OFFSET(L41,-1,0),1)&lt;=MAX(QCI!$D$13:$D$24),1+COUNTIF($L$13:OFFSET(L41,-1,0),1),-1),0)</f>
        <v>6</v>
      </c>
      <c r="F42" s="238" t="str">
        <f ca="1">IF(AND($E42&lt;&gt;-1,$R41&gt;0),"F","")</f>
        <v/>
      </c>
      <c r="G42" s="251" t="str">
        <f ca="1">IF(OR(R41=0,R41=""),"vazia",IF(AND(OR(ACOMPANHAMENTO="PLE",$Q41&lt;&gt;2),$E42=0),"calculada","--&gt;"))</f>
        <v>vazia</v>
      </c>
      <c r="H42" s="252"/>
      <c r="I42" s="253" t="str">
        <f ca="1">IF(AND(G41&lt;&gt;0,ISNUMBER(G41)),"PREENCHA ESTA LINHA --&gt;","")</f>
        <v/>
      </c>
      <c r="J42" s="253"/>
      <c r="K42" s="253"/>
      <c r="L42" s="254"/>
      <c r="M42" s="254"/>
      <c r="N42" s="254"/>
      <c r="O42" s="254"/>
      <c r="P42" s="254"/>
      <c r="Q42" s="254"/>
      <c r="R42" s="255"/>
      <c r="S42" s="256"/>
      <c r="T42" s="620"/>
      <c r="U42" s="619"/>
      <c r="V42" s="619"/>
      <c r="W42" s="619"/>
      <c r="X42" s="619"/>
      <c r="Y42" s="619"/>
      <c r="Z42" s="619"/>
      <c r="AA42" s="619"/>
      <c r="AB42" s="619"/>
      <c r="AC42" s="619"/>
      <c r="AD42" s="619"/>
      <c r="AE42" s="621"/>
      <c r="AF42" s="579"/>
    </row>
    <row r="43" spans="1:32" ht="0.2" hidden="1" customHeight="1" x14ac:dyDescent="0.2">
      <c r="D43" s="257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8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8"/>
      <c r="R43" s="259" t="str">
        <f ca="1">L41&amp;"$"</f>
        <v>1$</v>
      </c>
      <c r="S43" s="260"/>
      <c r="T43" s="261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7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7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7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7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7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7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7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7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7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7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2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8">
        <f ca="1">OFFSET(A44,-3,0)+1</f>
        <v>11</v>
      </c>
      <c r="B44" s="238">
        <f ca="1">IF($Q44&lt;&gt;2,0,IF($R44=0,1,IF(E45&gt;0,OFFSET(QCI!$M$13,SUBSTITUTE(E45,".",""),0),OFFSET(ORÇAMENTO!$AA$15,CRONO!$E44,0))/$R44))</f>
        <v>1</v>
      </c>
      <c r="C44" s="238">
        <f ca="1">IF($Q44&lt;&gt;2,0,IF($R44=0,1,IF(E45&gt;0,OFFSET(QCI!$N$13,SUBSTITUTE(E45,".",""),0),OFFSET(ORÇAMENTO!$AB$15,CRONO!$E44,0))/$R44))</f>
        <v>1</v>
      </c>
      <c r="D44" s="241">
        <f ca="1">IF(AND($Q44=2,ACOMPANHAMENTO="BM"),D45,D46/$R44)</f>
        <v>0</v>
      </c>
      <c r="E44" s="238" t="e">
        <f ca="1">IF(A44&lt;=ORÇAMENTO.MáximoListaCrono,MATCH(A44,ORÇAMENTO.ListaCrono,0),NA())</f>
        <v>#N/A</v>
      </c>
      <c r="F44" s="238" t="str">
        <f ca="1">IF(AND($E45&lt;&gt;-1,$R44&gt;0),"F","")</f>
        <v/>
      </c>
      <c r="G44" s="242" t="str">
        <f ca="1">IF(OR(R44=0,R44=""),"Linha",IF(AND(OR(ACOMPANHAMENTO="PLE",$Q44&lt;&gt;2),$E45=0),"Linha",1-SUM(T44:AF44)))</f>
        <v>Linha</v>
      </c>
      <c r="H44" s="243">
        <f ca="1">IF($E45=0,OFFSET(ORÇAMENTO!O$15,$E44,0),IF($E45&lt;&gt;-1,OFFSET(QCI!$D$13,$E45,0),""))</f>
        <v>7</v>
      </c>
      <c r="I44" s="244" t="str">
        <f ca="1">IF($E45=0,OFFSET(ORÇAMENTO!R$15,$E44,0),IF($E45&lt;&gt;-1,OFFSET(QCI!$G$13,$E45,0),""))</f>
        <v/>
      </c>
      <c r="J44" s="244"/>
      <c r="K44" s="244"/>
      <c r="L44" s="245">
        <f ca="1">IF($E45=0,OFFSET(ORÇAMENTO!C$15,$E44,0),1)</f>
        <v>1</v>
      </c>
      <c r="M44" s="246">
        <f ca="1">IF($E45=-1,0,IF(M$13&lt;=$L44,IF(ISERROR(MATCH(M$13,OFFSET($L44,1,0,ROW($L$164)-ROW($L44)-1),0)),ROW($L$164)-ROW($L44)-1,MATCH(M$13,OFFSET($L44,1,0,ROW($L$164)-ROW($L44)-1),0)-1),0))</f>
        <v>2</v>
      </c>
      <c r="N44" s="246">
        <f ca="1">IF($E45=-1,0,IF(N$13&lt;=$L44,IF(ISERROR(MATCH(N$13,OFFSET($L44,1,0,ROW($L$164)-ROW($L44)-1),0)),ROW($L$164)-ROW($L44)-1,MATCH(N$13,OFFSET($L44,1,0,ROW($L$164)-ROW($L44)-1),0)-1),0))</f>
        <v>0</v>
      </c>
      <c r="O44" s="246">
        <f ca="1">IF($E45=-1,0,IF(O$13&lt;=$L44,IF(ISERROR(MATCH(O$13,OFFSET($L44,1,0,ROW($L$164)-ROW($L44)-1),0)),ROW($L$164)-ROW($L44)-1,MATCH(O$13,OFFSET($L44,1,0,ROW($L$164)-ROW($L44)-1),0)-1),0))</f>
        <v>0</v>
      </c>
      <c r="P44" s="246">
        <f ca="1">IF($E45=-1,0,IF(P$13&lt;=$L44,IF(ISERROR(MATCH(P$13,OFFSET($L44,1,0,ROW($L$164)-ROW($L44)-1),0)),ROW($L$164)-ROW($L44)-1,MATCH(P$13,OFFSET($L44,1,0,ROW($L$164)-ROW($L44)-1),0)-1),0))</f>
        <v>0</v>
      </c>
      <c r="Q44" s="246">
        <f ca="1">MIN(OFFSET(L44,0,1,,L44))</f>
        <v>2</v>
      </c>
      <c r="R44" s="247">
        <f ca="1">IF($E45=0,OFFSET(ORÇAMENTO!X$15,$E44,0),IF($E45&lt;&gt;-1,OFFSET(QCI!$O$13,$E45,0),""))</f>
        <v>0</v>
      </c>
      <c r="S44" s="248" t="s">
        <v>269</v>
      </c>
      <c r="T44" s="249">
        <f t="shared" ref="T44:AE44" ca="1" si="13">IF(AND($Q44=2,ACOMPANHAMENTO="BM"),T45,T46/$R44)</f>
        <v>0</v>
      </c>
      <c r="U44" s="241">
        <f t="shared" ca="1" si="13"/>
        <v>0</v>
      </c>
      <c r="V44" s="241">
        <f t="shared" ca="1" si="13"/>
        <v>0</v>
      </c>
      <c r="W44" s="241">
        <f t="shared" ca="1" si="13"/>
        <v>0</v>
      </c>
      <c r="X44" s="241">
        <f t="shared" ca="1" si="13"/>
        <v>0</v>
      </c>
      <c r="Y44" s="241">
        <f t="shared" ca="1" si="13"/>
        <v>0</v>
      </c>
      <c r="Z44" s="241">
        <f t="shared" ca="1" si="13"/>
        <v>0</v>
      </c>
      <c r="AA44" s="241">
        <f t="shared" ca="1" si="13"/>
        <v>0</v>
      </c>
      <c r="AB44" s="241">
        <f t="shared" ca="1" si="13"/>
        <v>0</v>
      </c>
      <c r="AC44" s="241">
        <f t="shared" ca="1" si="13"/>
        <v>0</v>
      </c>
      <c r="AD44" s="241">
        <f t="shared" ca="1" si="13"/>
        <v>0</v>
      </c>
      <c r="AE44" s="250">
        <f t="shared" ca="1" si="13"/>
        <v>0</v>
      </c>
    </row>
    <row r="45" spans="1:32" ht="12.75" hidden="1" customHeight="1" x14ac:dyDescent="0.2">
      <c r="D45" s="619"/>
      <c r="E45" s="238">
        <f ca="1">IF(ISERROR(E44),IF(1+COUNTIF($L$13:OFFSET(L44,-1,0),1)&lt;=MAX(QCI!$D$13:$D$24),1+COUNTIF($L$13:OFFSET(L44,-1,0),1),-1),0)</f>
        <v>7</v>
      </c>
      <c r="F45" s="238" t="str">
        <f ca="1">IF(AND($E45&lt;&gt;-1,$R44&gt;0),"F","")</f>
        <v/>
      </c>
      <c r="G45" s="251" t="str">
        <f ca="1">IF(OR(R44=0,R44=""),"vazia",IF(AND(OR(ACOMPANHAMENTO="PLE",$Q44&lt;&gt;2),$E45=0),"calculada","--&gt;"))</f>
        <v>vazia</v>
      </c>
      <c r="H45" s="252"/>
      <c r="I45" s="253" t="str">
        <f ca="1">IF(AND(G44&lt;&gt;0,ISNUMBER(G44)),"PREENCHA ESTA LINHA --&gt;","")</f>
        <v/>
      </c>
      <c r="J45" s="253"/>
      <c r="K45" s="253"/>
      <c r="L45" s="254"/>
      <c r="M45" s="254"/>
      <c r="N45" s="254"/>
      <c r="O45" s="254"/>
      <c r="P45" s="254"/>
      <c r="Q45" s="254"/>
      <c r="R45" s="255"/>
      <c r="S45" s="256"/>
      <c r="T45" s="620"/>
      <c r="U45" s="619"/>
      <c r="V45" s="619"/>
      <c r="W45" s="619"/>
      <c r="X45" s="619"/>
      <c r="Y45" s="619"/>
      <c r="Z45" s="619"/>
      <c r="AA45" s="619"/>
      <c r="AB45" s="619"/>
      <c r="AC45" s="619"/>
      <c r="AD45" s="619"/>
      <c r="AE45" s="621"/>
      <c r="AF45" s="579"/>
    </row>
    <row r="46" spans="1:32" ht="0.2" hidden="1" customHeight="1" x14ac:dyDescent="0.2">
      <c r="D46" s="257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8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8"/>
      <c r="R46" s="259" t="str">
        <f ca="1">L44&amp;"$"</f>
        <v>1$</v>
      </c>
      <c r="S46" s="260"/>
      <c r="T46" s="261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7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7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7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7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7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7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7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7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7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7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2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8">
        <f ca="1">OFFSET(A47,-3,0)+1</f>
        <v>12</v>
      </c>
      <c r="B47" s="238">
        <f ca="1">IF($Q47&lt;&gt;2,0,IF($R47=0,1,IF(E48&gt;0,OFFSET(QCI!$M$13,SUBSTITUTE(E48,".",""),0),OFFSET(ORÇAMENTO!$AA$15,CRONO!$E47,0))/$R47))</f>
        <v>1</v>
      </c>
      <c r="C47" s="238">
        <f ca="1">IF($Q47&lt;&gt;2,0,IF($R47=0,1,IF(E48&gt;0,OFFSET(QCI!$N$13,SUBSTITUTE(E48,".",""),0),OFFSET(ORÇAMENTO!$AB$15,CRONO!$E47,0))/$R47))</f>
        <v>1</v>
      </c>
      <c r="D47" s="241">
        <f ca="1">IF(AND($Q47=2,ACOMPANHAMENTO="BM"),D48,D49/$R47)</f>
        <v>0</v>
      </c>
      <c r="E47" s="238" t="e">
        <f ca="1">IF(A47&lt;=ORÇAMENTO.MáximoListaCrono,MATCH(A47,ORÇAMENTO.ListaCrono,0),NA())</f>
        <v>#N/A</v>
      </c>
      <c r="F47" s="238" t="str">
        <f ca="1">IF(AND($E48&lt;&gt;-1,$R47&gt;0),"F","")</f>
        <v/>
      </c>
      <c r="G47" s="242" t="str">
        <f ca="1">IF(OR(R47=0,R47=""),"Linha",IF(AND(OR(ACOMPANHAMENTO="PLE",$Q47&lt;&gt;2),$E48=0),"Linha",1-SUM(T47:AF47)))</f>
        <v>Linha</v>
      </c>
      <c r="H47" s="243">
        <f ca="1">IF($E48=0,OFFSET(ORÇAMENTO!O$15,$E47,0),IF($E48&lt;&gt;-1,OFFSET(QCI!$D$13,$E48,0),""))</f>
        <v>8</v>
      </c>
      <c r="I47" s="244" t="str">
        <f ca="1">IF($E48=0,OFFSET(ORÇAMENTO!R$15,$E47,0),IF($E48&lt;&gt;-1,OFFSET(QCI!$G$13,$E48,0),""))</f>
        <v/>
      </c>
      <c r="J47" s="244"/>
      <c r="K47" s="244"/>
      <c r="L47" s="245">
        <f ca="1">IF($E48=0,OFFSET(ORÇAMENTO!C$15,$E47,0),1)</f>
        <v>1</v>
      </c>
      <c r="M47" s="246">
        <f ca="1">IF($E48=-1,0,IF(M$13&lt;=$L47,IF(ISERROR(MATCH(M$13,OFFSET($L47,1,0,ROW($L$164)-ROW($L47)-1),0)),ROW($L$164)-ROW($L47)-1,MATCH(M$13,OFFSET($L47,1,0,ROW($L$164)-ROW($L47)-1),0)-1),0))</f>
        <v>2</v>
      </c>
      <c r="N47" s="246">
        <f ca="1">IF($E48=-1,0,IF(N$13&lt;=$L47,IF(ISERROR(MATCH(N$13,OFFSET($L47,1,0,ROW($L$164)-ROW($L47)-1),0)),ROW($L$164)-ROW($L47)-1,MATCH(N$13,OFFSET($L47,1,0,ROW($L$164)-ROW($L47)-1),0)-1),0))</f>
        <v>0</v>
      </c>
      <c r="O47" s="246">
        <f ca="1">IF($E48=-1,0,IF(O$13&lt;=$L47,IF(ISERROR(MATCH(O$13,OFFSET($L47,1,0,ROW($L$164)-ROW($L47)-1),0)),ROW($L$164)-ROW($L47)-1,MATCH(O$13,OFFSET($L47,1,0,ROW($L$164)-ROW($L47)-1),0)-1),0))</f>
        <v>0</v>
      </c>
      <c r="P47" s="246">
        <f ca="1">IF($E48=-1,0,IF(P$13&lt;=$L47,IF(ISERROR(MATCH(P$13,OFFSET($L47,1,0,ROW($L$164)-ROW($L47)-1),0)),ROW($L$164)-ROW($L47)-1,MATCH(P$13,OFFSET($L47,1,0,ROW($L$164)-ROW($L47)-1),0)-1),0))</f>
        <v>0</v>
      </c>
      <c r="Q47" s="246">
        <f ca="1">MIN(OFFSET(L47,0,1,,L47))</f>
        <v>2</v>
      </c>
      <c r="R47" s="247">
        <f ca="1">IF($E48=0,OFFSET(ORÇAMENTO!X$15,$E47,0),IF($E48&lt;&gt;-1,OFFSET(QCI!$O$13,$E48,0),""))</f>
        <v>0</v>
      </c>
      <c r="S47" s="248" t="s">
        <v>269</v>
      </c>
      <c r="T47" s="249">
        <f t="shared" ref="T47:AE47" ca="1" si="14">IF(AND($Q47=2,ACOMPANHAMENTO="BM"),T48,T49/$R47)</f>
        <v>0</v>
      </c>
      <c r="U47" s="241">
        <f t="shared" ca="1" si="14"/>
        <v>0</v>
      </c>
      <c r="V47" s="241">
        <f t="shared" ca="1" si="14"/>
        <v>0</v>
      </c>
      <c r="W47" s="241">
        <f t="shared" ca="1" si="14"/>
        <v>0</v>
      </c>
      <c r="X47" s="241">
        <f t="shared" ca="1" si="14"/>
        <v>0</v>
      </c>
      <c r="Y47" s="241">
        <f t="shared" ca="1" si="14"/>
        <v>0</v>
      </c>
      <c r="Z47" s="241">
        <f t="shared" ca="1" si="14"/>
        <v>0</v>
      </c>
      <c r="AA47" s="241">
        <f t="shared" ca="1" si="14"/>
        <v>0</v>
      </c>
      <c r="AB47" s="241">
        <f t="shared" ca="1" si="14"/>
        <v>0</v>
      </c>
      <c r="AC47" s="241">
        <f t="shared" ca="1" si="14"/>
        <v>0</v>
      </c>
      <c r="AD47" s="241">
        <f t="shared" ca="1" si="14"/>
        <v>0</v>
      </c>
      <c r="AE47" s="250">
        <f t="shared" ca="1" si="14"/>
        <v>0</v>
      </c>
    </row>
    <row r="48" spans="1:32" ht="12.75" hidden="1" customHeight="1" x14ac:dyDescent="0.2">
      <c r="D48" s="619"/>
      <c r="E48" s="238">
        <f ca="1">IF(ISERROR(E47),IF(1+COUNTIF($L$13:OFFSET(L47,-1,0),1)&lt;=MAX(QCI!$D$13:$D$24),1+COUNTIF($L$13:OFFSET(L47,-1,0),1),-1),0)</f>
        <v>8</v>
      </c>
      <c r="F48" s="238" t="str">
        <f ca="1">IF(AND($E48&lt;&gt;-1,$R47&gt;0),"F","")</f>
        <v/>
      </c>
      <c r="G48" s="251" t="str">
        <f ca="1">IF(OR(R47=0,R47=""),"vazia",IF(AND(OR(ACOMPANHAMENTO="PLE",$Q47&lt;&gt;2),$E48=0),"calculada","--&gt;"))</f>
        <v>vazia</v>
      </c>
      <c r="H48" s="252"/>
      <c r="I48" s="253" t="str">
        <f ca="1">IF(AND(G47&lt;&gt;0,ISNUMBER(G47)),"PREENCHA ESTA LINHA --&gt;","")</f>
        <v/>
      </c>
      <c r="J48" s="253"/>
      <c r="K48" s="253"/>
      <c r="L48" s="254"/>
      <c r="M48" s="254"/>
      <c r="N48" s="254"/>
      <c r="O48" s="254"/>
      <c r="P48" s="254"/>
      <c r="Q48" s="254"/>
      <c r="R48" s="255"/>
      <c r="S48" s="256"/>
      <c r="T48" s="620"/>
      <c r="U48" s="619"/>
      <c r="V48" s="619"/>
      <c r="W48" s="619"/>
      <c r="X48" s="619"/>
      <c r="Y48" s="619"/>
      <c r="Z48" s="619"/>
      <c r="AA48" s="619"/>
      <c r="AB48" s="619"/>
      <c r="AC48" s="619"/>
      <c r="AD48" s="619"/>
      <c r="AE48" s="621"/>
      <c r="AF48" s="579"/>
    </row>
    <row r="49" spans="1:32" ht="0.2" hidden="1" customHeight="1" x14ac:dyDescent="0.2">
      <c r="D49" s="257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8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8"/>
      <c r="R49" s="259" t="str">
        <f ca="1">L47&amp;"$"</f>
        <v>1$</v>
      </c>
      <c r="S49" s="260"/>
      <c r="T49" s="261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7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7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7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7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7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7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7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7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7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7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2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8">
        <f ca="1">OFFSET(A50,-3,0)+1</f>
        <v>13</v>
      </c>
      <c r="B50" s="238">
        <f ca="1">IF($Q50&lt;&gt;2,0,IF($R50=0,1,IF(E51&gt;0,OFFSET(QCI!$M$13,SUBSTITUTE(E51,".",""),0),OFFSET(ORÇAMENTO!$AA$15,CRONO!$E50,0))/$R50))</f>
        <v>1</v>
      </c>
      <c r="C50" s="238">
        <f ca="1">IF($Q50&lt;&gt;2,0,IF($R50=0,1,IF(E51&gt;0,OFFSET(QCI!$N$13,SUBSTITUTE(E51,".",""),0),OFFSET(ORÇAMENTO!$AB$15,CRONO!$E50,0))/$R50))</f>
        <v>1</v>
      </c>
      <c r="D50" s="241">
        <f ca="1">IF(AND($Q50=2,ACOMPANHAMENTO="BM"),D51,D52/$R50)</f>
        <v>0</v>
      </c>
      <c r="E50" s="238" t="e">
        <f ca="1">IF(A50&lt;=ORÇAMENTO.MáximoListaCrono,MATCH(A50,ORÇAMENTO.ListaCrono,0),NA())</f>
        <v>#N/A</v>
      </c>
      <c r="F50" s="238" t="str">
        <f ca="1">IF(AND($E51&lt;&gt;-1,$R50&gt;0),"F","")</f>
        <v/>
      </c>
      <c r="G50" s="242" t="str">
        <f ca="1">IF(OR(R50=0,R50=""),"Linha",IF(AND(OR(ACOMPANHAMENTO="PLE",$Q50&lt;&gt;2),$E51=0),"Linha",1-SUM(T50:AF50)))</f>
        <v>Linha</v>
      </c>
      <c r="H50" s="243">
        <f ca="1">IF($E51=0,OFFSET(ORÇAMENTO!O$15,$E50,0),IF($E51&lt;&gt;-1,OFFSET(QCI!$D$13,$E51,0),""))</f>
        <v>9</v>
      </c>
      <c r="I50" s="244" t="str">
        <f ca="1">IF($E51=0,OFFSET(ORÇAMENTO!R$15,$E50,0),IF($E51&lt;&gt;-1,OFFSET(QCI!$G$13,$E51,0),""))</f>
        <v/>
      </c>
      <c r="J50" s="244"/>
      <c r="K50" s="244"/>
      <c r="L50" s="245">
        <f ca="1">IF($E51=0,OFFSET(ORÇAMENTO!C$15,$E50,0),1)</f>
        <v>1</v>
      </c>
      <c r="M50" s="246">
        <f ca="1">IF($E51=-1,0,IF(M$13&lt;=$L50,IF(ISERROR(MATCH(M$13,OFFSET($L50,1,0,ROW($L$164)-ROW($L50)-1),0)),ROW($L$164)-ROW($L50)-1,MATCH(M$13,OFFSET($L50,1,0,ROW($L$164)-ROW($L50)-1),0)-1),0))</f>
        <v>2</v>
      </c>
      <c r="N50" s="246">
        <f ca="1">IF($E51=-1,0,IF(N$13&lt;=$L50,IF(ISERROR(MATCH(N$13,OFFSET($L50,1,0,ROW($L$164)-ROW($L50)-1),0)),ROW($L$164)-ROW($L50)-1,MATCH(N$13,OFFSET($L50,1,0,ROW($L$164)-ROW($L50)-1),0)-1),0))</f>
        <v>0</v>
      </c>
      <c r="O50" s="246">
        <f ca="1">IF($E51=-1,0,IF(O$13&lt;=$L50,IF(ISERROR(MATCH(O$13,OFFSET($L50,1,0,ROW($L$164)-ROW($L50)-1),0)),ROW($L$164)-ROW($L50)-1,MATCH(O$13,OFFSET($L50,1,0,ROW($L$164)-ROW($L50)-1),0)-1),0))</f>
        <v>0</v>
      </c>
      <c r="P50" s="246">
        <f ca="1">IF($E51=-1,0,IF(P$13&lt;=$L50,IF(ISERROR(MATCH(P$13,OFFSET($L50,1,0,ROW($L$164)-ROW($L50)-1),0)),ROW($L$164)-ROW($L50)-1,MATCH(P$13,OFFSET($L50,1,0,ROW($L$164)-ROW($L50)-1),0)-1),0))</f>
        <v>0</v>
      </c>
      <c r="Q50" s="246">
        <f ca="1">MIN(OFFSET(L50,0,1,,L50))</f>
        <v>2</v>
      </c>
      <c r="R50" s="247">
        <f ca="1">IF($E51=0,OFFSET(ORÇAMENTO!X$15,$E50,0),IF($E51&lt;&gt;-1,OFFSET(QCI!$O$13,$E51,0),""))</f>
        <v>0</v>
      </c>
      <c r="S50" s="248" t="s">
        <v>269</v>
      </c>
      <c r="T50" s="249">
        <f t="shared" ref="T50:AE50" ca="1" si="15">IF(AND($Q50=2,ACOMPANHAMENTO="BM"),T51,T52/$R50)</f>
        <v>0</v>
      </c>
      <c r="U50" s="241">
        <f t="shared" ca="1" si="15"/>
        <v>0</v>
      </c>
      <c r="V50" s="241">
        <f t="shared" ca="1" si="15"/>
        <v>0</v>
      </c>
      <c r="W50" s="241">
        <f t="shared" ca="1" si="15"/>
        <v>0</v>
      </c>
      <c r="X50" s="241">
        <f t="shared" ca="1" si="15"/>
        <v>0</v>
      </c>
      <c r="Y50" s="241">
        <f t="shared" ca="1" si="15"/>
        <v>0</v>
      </c>
      <c r="Z50" s="241">
        <f t="shared" ca="1" si="15"/>
        <v>0</v>
      </c>
      <c r="AA50" s="241">
        <f t="shared" ca="1" si="15"/>
        <v>0</v>
      </c>
      <c r="AB50" s="241">
        <f t="shared" ca="1" si="15"/>
        <v>0</v>
      </c>
      <c r="AC50" s="241">
        <f t="shared" ca="1" si="15"/>
        <v>0</v>
      </c>
      <c r="AD50" s="241">
        <f t="shared" ca="1" si="15"/>
        <v>0</v>
      </c>
      <c r="AE50" s="250">
        <f t="shared" ca="1" si="15"/>
        <v>0</v>
      </c>
    </row>
    <row r="51" spans="1:32" ht="12.75" hidden="1" customHeight="1" x14ac:dyDescent="0.2">
      <c r="D51" s="619"/>
      <c r="E51" s="238">
        <f ca="1">IF(ISERROR(E50),IF(1+COUNTIF($L$13:OFFSET(L50,-1,0),1)&lt;=MAX(QCI!$D$13:$D$24),1+COUNTIF($L$13:OFFSET(L50,-1,0),1),-1),0)</f>
        <v>9</v>
      </c>
      <c r="F51" s="238" t="str">
        <f ca="1">IF(AND($E51&lt;&gt;-1,$R50&gt;0),"F","")</f>
        <v/>
      </c>
      <c r="G51" s="251" t="str">
        <f ca="1">IF(OR(R50=0,R50=""),"vazia",IF(AND(OR(ACOMPANHAMENTO="PLE",$Q50&lt;&gt;2),$E51=0),"calculada","--&gt;"))</f>
        <v>vazia</v>
      </c>
      <c r="H51" s="252"/>
      <c r="I51" s="253" t="str">
        <f ca="1">IF(AND(G50&lt;&gt;0,ISNUMBER(G50)),"PREENCHA ESTA LINHA --&gt;","")</f>
        <v/>
      </c>
      <c r="J51" s="253"/>
      <c r="K51" s="253"/>
      <c r="L51" s="254"/>
      <c r="M51" s="254"/>
      <c r="N51" s="254"/>
      <c r="O51" s="254"/>
      <c r="P51" s="254"/>
      <c r="Q51" s="254"/>
      <c r="R51" s="255"/>
      <c r="S51" s="256"/>
      <c r="T51" s="620"/>
      <c r="U51" s="619"/>
      <c r="V51" s="619"/>
      <c r="W51" s="619"/>
      <c r="X51" s="619"/>
      <c r="Y51" s="619"/>
      <c r="Z51" s="619"/>
      <c r="AA51" s="619"/>
      <c r="AB51" s="619"/>
      <c r="AC51" s="619"/>
      <c r="AD51" s="619"/>
      <c r="AE51" s="621"/>
      <c r="AF51" s="579"/>
    </row>
    <row r="52" spans="1:32" ht="0.2" hidden="1" customHeight="1" x14ac:dyDescent="0.2">
      <c r="D52" s="257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8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8"/>
      <c r="R52" s="259" t="str">
        <f ca="1">L50&amp;"$"</f>
        <v>1$</v>
      </c>
      <c r="S52" s="260"/>
      <c r="T52" s="261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7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7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7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7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7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7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7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7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7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7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2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8">
        <f ca="1">OFFSET(A53,-3,0)+1</f>
        <v>14</v>
      </c>
      <c r="B53" s="238">
        <f ca="1">IF($Q53&lt;&gt;2,0,IF($R53=0,1,IF(E54&gt;0,OFFSET(QCI!$M$13,SUBSTITUTE(E54,".",""),0),OFFSET(ORÇAMENTO!$AA$15,CRONO!$E53,0))/$R53))</f>
        <v>1</v>
      </c>
      <c r="C53" s="238">
        <f ca="1">IF($Q53&lt;&gt;2,0,IF($R53=0,1,IF(E54&gt;0,OFFSET(QCI!$N$13,SUBSTITUTE(E54,".",""),0),OFFSET(ORÇAMENTO!$AB$15,CRONO!$E53,0))/$R53))</f>
        <v>1</v>
      </c>
      <c r="D53" s="241">
        <f ca="1">IF(AND($Q53=2,ACOMPANHAMENTO="BM"),D54,D55/$R53)</f>
        <v>0</v>
      </c>
      <c r="E53" s="238" t="e">
        <f ca="1">IF(A53&lt;=ORÇAMENTO.MáximoListaCrono,MATCH(A53,ORÇAMENTO.ListaCrono,0),NA())</f>
        <v>#N/A</v>
      </c>
      <c r="F53" s="238" t="str">
        <f ca="1">IF(AND($E54&lt;&gt;-1,$R53&gt;0),"F","")</f>
        <v/>
      </c>
      <c r="G53" s="242" t="str">
        <f ca="1">IF(OR(R53=0,R53=""),"Linha",IF(AND(OR(ACOMPANHAMENTO="PLE",$Q53&lt;&gt;2),$E54=0),"Linha",1-SUM(T53:AF53)))</f>
        <v>Linha</v>
      </c>
      <c r="H53" s="243">
        <f ca="1">IF($E54=0,OFFSET(ORÇAMENTO!O$15,$E53,0),IF($E54&lt;&gt;-1,OFFSET(QCI!$D$13,$E54,0),""))</f>
        <v>10</v>
      </c>
      <c r="I53" s="244" t="str">
        <f ca="1">IF($E54=0,OFFSET(ORÇAMENTO!R$15,$E53,0),IF($E54&lt;&gt;-1,OFFSET(QCI!$G$13,$E54,0),""))</f>
        <v/>
      </c>
      <c r="J53" s="244"/>
      <c r="K53" s="244"/>
      <c r="L53" s="245">
        <f ca="1">IF($E54=0,OFFSET(ORÇAMENTO!C$15,$E53,0),1)</f>
        <v>1</v>
      </c>
      <c r="M53" s="246">
        <f ca="1">IF($E54=-1,0,IF(M$13&lt;=$L53,IF(ISERROR(MATCH(M$13,OFFSET($L53,1,0,ROW($L$164)-ROW($L53)-1),0)),ROW($L$164)-ROW($L53)-1,MATCH(M$13,OFFSET($L53,1,0,ROW($L$164)-ROW($L53)-1),0)-1),0))</f>
        <v>2</v>
      </c>
      <c r="N53" s="246">
        <f ca="1">IF($E54=-1,0,IF(N$13&lt;=$L53,IF(ISERROR(MATCH(N$13,OFFSET($L53,1,0,ROW($L$164)-ROW($L53)-1),0)),ROW($L$164)-ROW($L53)-1,MATCH(N$13,OFFSET($L53,1,0,ROW($L$164)-ROW($L53)-1),0)-1),0))</f>
        <v>0</v>
      </c>
      <c r="O53" s="246">
        <f ca="1">IF($E54=-1,0,IF(O$13&lt;=$L53,IF(ISERROR(MATCH(O$13,OFFSET($L53,1,0,ROW($L$164)-ROW($L53)-1),0)),ROW($L$164)-ROW($L53)-1,MATCH(O$13,OFFSET($L53,1,0,ROW($L$164)-ROW($L53)-1),0)-1),0))</f>
        <v>0</v>
      </c>
      <c r="P53" s="246">
        <f ca="1">IF($E54=-1,0,IF(P$13&lt;=$L53,IF(ISERROR(MATCH(P$13,OFFSET($L53,1,0,ROW($L$164)-ROW($L53)-1),0)),ROW($L$164)-ROW($L53)-1,MATCH(P$13,OFFSET($L53,1,0,ROW($L$164)-ROW($L53)-1),0)-1),0))</f>
        <v>0</v>
      </c>
      <c r="Q53" s="246">
        <f ca="1">MIN(OFFSET(L53,0,1,,L53))</f>
        <v>2</v>
      </c>
      <c r="R53" s="247">
        <f ca="1">IF($E54=0,OFFSET(ORÇAMENTO!X$15,$E53,0),IF($E54&lt;&gt;-1,OFFSET(QCI!$O$13,$E54,0),""))</f>
        <v>0</v>
      </c>
      <c r="S53" s="248" t="s">
        <v>269</v>
      </c>
      <c r="T53" s="249">
        <f t="shared" ref="T53:AE53" ca="1" si="16">IF(AND($Q53=2,ACOMPANHAMENTO="BM"),T54,T55/$R53)</f>
        <v>0</v>
      </c>
      <c r="U53" s="241">
        <f t="shared" ca="1" si="16"/>
        <v>0</v>
      </c>
      <c r="V53" s="241">
        <f t="shared" ca="1" si="16"/>
        <v>0</v>
      </c>
      <c r="W53" s="241">
        <f t="shared" ca="1" si="16"/>
        <v>0</v>
      </c>
      <c r="X53" s="241">
        <f t="shared" ca="1" si="16"/>
        <v>0</v>
      </c>
      <c r="Y53" s="241">
        <f t="shared" ca="1" si="16"/>
        <v>0</v>
      </c>
      <c r="Z53" s="241">
        <f t="shared" ca="1" si="16"/>
        <v>0</v>
      </c>
      <c r="AA53" s="241">
        <f t="shared" ca="1" si="16"/>
        <v>0</v>
      </c>
      <c r="AB53" s="241">
        <f t="shared" ca="1" si="16"/>
        <v>0</v>
      </c>
      <c r="AC53" s="241">
        <f t="shared" ca="1" si="16"/>
        <v>0</v>
      </c>
      <c r="AD53" s="241">
        <f t="shared" ca="1" si="16"/>
        <v>0</v>
      </c>
      <c r="AE53" s="250">
        <f t="shared" ca="1" si="16"/>
        <v>0</v>
      </c>
    </row>
    <row r="54" spans="1:32" ht="12.75" hidden="1" customHeight="1" x14ac:dyDescent="0.2">
      <c r="D54" s="619"/>
      <c r="E54" s="238">
        <f ca="1">IF(ISERROR(E53),IF(1+COUNTIF($L$13:OFFSET(L53,-1,0),1)&lt;=MAX(QCI!$D$13:$D$24),1+COUNTIF($L$13:OFFSET(L53,-1,0),1),-1),0)</f>
        <v>10</v>
      </c>
      <c r="F54" s="238" t="str">
        <f ca="1">IF(AND($E54&lt;&gt;-1,$R53&gt;0),"F","")</f>
        <v/>
      </c>
      <c r="G54" s="251" t="str">
        <f ca="1">IF(OR(R53=0,R53=""),"vazia",IF(AND(OR(ACOMPANHAMENTO="PLE",$Q53&lt;&gt;2),$E54=0),"calculada","--&gt;"))</f>
        <v>vazia</v>
      </c>
      <c r="H54" s="252"/>
      <c r="I54" s="253" t="str">
        <f ca="1">IF(AND(G53&lt;&gt;0,ISNUMBER(G53)),"PREENCHA ESTA LINHA --&gt;","")</f>
        <v/>
      </c>
      <c r="J54" s="253"/>
      <c r="K54" s="253"/>
      <c r="L54" s="254"/>
      <c r="M54" s="254"/>
      <c r="N54" s="254"/>
      <c r="O54" s="254"/>
      <c r="P54" s="254"/>
      <c r="Q54" s="254"/>
      <c r="R54" s="255"/>
      <c r="S54" s="256"/>
      <c r="T54" s="620"/>
      <c r="U54" s="619"/>
      <c r="V54" s="619"/>
      <c r="W54" s="619"/>
      <c r="X54" s="619"/>
      <c r="Y54" s="619"/>
      <c r="Z54" s="619"/>
      <c r="AA54" s="619"/>
      <c r="AB54" s="619"/>
      <c r="AC54" s="619"/>
      <c r="AD54" s="619"/>
      <c r="AE54" s="621"/>
      <c r="AF54" s="579"/>
    </row>
    <row r="55" spans="1:32" ht="0.2" hidden="1" customHeight="1" x14ac:dyDescent="0.2">
      <c r="D55" s="257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8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8"/>
      <c r="R55" s="259" t="str">
        <f ca="1">L53&amp;"$"</f>
        <v>1$</v>
      </c>
      <c r="S55" s="260"/>
      <c r="T55" s="261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7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7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7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7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7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7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7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7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7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7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2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8">
        <f ca="1">OFFSET(A56,-3,0)+1</f>
        <v>15</v>
      </c>
      <c r="B56" s="238">
        <f ca="1">IF($Q56&lt;&gt;2,0,IF($R56=0,1,IF(E57&gt;0,OFFSET(QCI!$M$13,SUBSTITUTE(E57,".",""),0),OFFSET(ORÇAMENTO!$AA$15,CRONO!$E56,0))/$R56))</f>
        <v>0</v>
      </c>
      <c r="C56" s="238">
        <f ca="1">IF($Q56&lt;&gt;2,0,IF($R56=0,1,IF(E57&gt;0,OFFSET(QCI!$N$13,SUBSTITUTE(E57,".",""),0),OFFSET(ORÇAMENTO!$AB$15,CRONO!$E56,0))/$R56))</f>
        <v>0</v>
      </c>
      <c r="D56" s="241" t="e">
        <f ca="1">IF(AND($Q56=2,ACOMPANHAMENTO="BM"),D57,D58/$R56)</f>
        <v>#VALUE!</v>
      </c>
      <c r="E56" s="238" t="e">
        <f ca="1">IF(A56&lt;=ORÇAMENTO.MáximoListaCrono,MATCH(A56,ORÇAMENTO.ListaCrono,0),NA())</f>
        <v>#N/A</v>
      </c>
      <c r="F56" s="238" t="str">
        <f ca="1">IF(AND($E57&lt;&gt;-1,$R56&gt;0),"F","")</f>
        <v/>
      </c>
      <c r="G56" s="242" t="str">
        <f ca="1">IF(OR(R56=0,R56=""),"Linha",IF(AND(OR(ACOMPANHAMENTO="PLE",$Q56&lt;&gt;2),$E57=0),"Linha",1-SUM(T56:AF56)))</f>
        <v>Linha</v>
      </c>
      <c r="H56" s="243" t="str">
        <f ca="1">IF($E57=0,OFFSET(ORÇAMENTO!O$15,$E56,0),IF($E57&lt;&gt;-1,OFFSET(QCI!$D$13,$E57,0),""))</f>
        <v/>
      </c>
      <c r="I56" s="244" t="str">
        <f ca="1">IF($E57=0,OFFSET(ORÇAMENTO!R$15,$E56,0),IF($E57&lt;&gt;-1,OFFSET(QCI!$G$13,$E57,0),""))</f>
        <v/>
      </c>
      <c r="J56" s="244"/>
      <c r="K56" s="244"/>
      <c r="L56" s="245">
        <f ca="1">IF($E57=0,OFFSET(ORÇAMENTO!C$15,$E56,0),1)</f>
        <v>1</v>
      </c>
      <c r="M56" s="246">
        <f ca="1">IF($E57=-1,0,IF(M$13&lt;=$L56,IF(ISERROR(MATCH(M$13,OFFSET($L56,1,0,ROW($L$164)-ROW($L56)-1),0)),ROW($L$164)-ROW($L56)-1,MATCH(M$13,OFFSET($L56,1,0,ROW($L$164)-ROW($L56)-1),0)-1),0))</f>
        <v>0</v>
      </c>
      <c r="N56" s="246">
        <f ca="1">IF($E57=-1,0,IF(N$13&lt;=$L56,IF(ISERROR(MATCH(N$13,OFFSET($L56,1,0,ROW($L$164)-ROW($L56)-1),0)),ROW($L$164)-ROW($L56)-1,MATCH(N$13,OFFSET($L56,1,0,ROW($L$164)-ROW($L56)-1),0)-1),0))</f>
        <v>0</v>
      </c>
      <c r="O56" s="246">
        <f ca="1">IF($E57=-1,0,IF(O$13&lt;=$L56,IF(ISERROR(MATCH(O$13,OFFSET($L56,1,0,ROW($L$164)-ROW($L56)-1),0)),ROW($L$164)-ROW($L56)-1,MATCH(O$13,OFFSET($L56,1,0,ROW($L$164)-ROW($L56)-1),0)-1),0))</f>
        <v>0</v>
      </c>
      <c r="P56" s="246">
        <f ca="1">IF($E57=-1,0,IF(P$13&lt;=$L56,IF(ISERROR(MATCH(P$13,OFFSET($L56,1,0,ROW($L$164)-ROW($L56)-1),0)),ROW($L$164)-ROW($L56)-1,MATCH(P$13,OFFSET($L56,1,0,ROW($L$164)-ROW($L56)-1),0)-1),0))</f>
        <v>0</v>
      </c>
      <c r="Q56" s="246">
        <f ca="1">MIN(OFFSET(L56,0,1,,L56))</f>
        <v>0</v>
      </c>
      <c r="R56" s="247" t="str">
        <f ca="1">IF($E57=0,OFFSET(ORÇAMENTO!X$15,$E56,0),IF($E57&lt;&gt;-1,OFFSET(QCI!$O$13,$E57,0),""))</f>
        <v/>
      </c>
      <c r="S56" s="248" t="s">
        <v>269</v>
      </c>
      <c r="T56" s="249" t="e">
        <f t="shared" ref="T56:AE56" ca="1" si="17">IF(AND($Q56=2,ACOMPANHAMENTO="BM"),T57,T58/$R56)</f>
        <v>#VALUE!</v>
      </c>
      <c r="U56" s="241" t="e">
        <f t="shared" ca="1" si="17"/>
        <v>#VALUE!</v>
      </c>
      <c r="V56" s="241" t="e">
        <f t="shared" ca="1" si="17"/>
        <v>#VALUE!</v>
      </c>
      <c r="W56" s="241" t="e">
        <f t="shared" ca="1" si="17"/>
        <v>#VALUE!</v>
      </c>
      <c r="X56" s="241" t="e">
        <f t="shared" ca="1" si="17"/>
        <v>#VALUE!</v>
      </c>
      <c r="Y56" s="241" t="e">
        <f t="shared" ca="1" si="17"/>
        <v>#VALUE!</v>
      </c>
      <c r="Z56" s="241" t="e">
        <f t="shared" ca="1" si="17"/>
        <v>#VALUE!</v>
      </c>
      <c r="AA56" s="241" t="e">
        <f t="shared" ca="1" si="17"/>
        <v>#VALUE!</v>
      </c>
      <c r="AB56" s="241" t="e">
        <f t="shared" ca="1" si="17"/>
        <v>#VALUE!</v>
      </c>
      <c r="AC56" s="241" t="e">
        <f t="shared" ca="1" si="17"/>
        <v>#VALUE!</v>
      </c>
      <c r="AD56" s="241" t="e">
        <f t="shared" ca="1" si="17"/>
        <v>#VALUE!</v>
      </c>
      <c r="AE56" s="250" t="e">
        <f t="shared" ca="1" si="17"/>
        <v>#VALUE!</v>
      </c>
    </row>
    <row r="57" spans="1:32" ht="12.75" hidden="1" customHeight="1" x14ac:dyDescent="0.2">
      <c r="D57" s="619"/>
      <c r="E57" s="238">
        <f ca="1">IF(ISERROR(E56),IF(1+COUNTIF($L$13:OFFSET(L56,-1,0),1)&lt;=MAX(QCI!$D$13:$D$24),1+COUNTIF($L$13:OFFSET(L56,-1,0),1),-1),0)</f>
        <v>-1</v>
      </c>
      <c r="F57" s="238" t="str">
        <f ca="1">IF(AND($E57&lt;&gt;-1,$R56&gt;0),"F","")</f>
        <v/>
      </c>
      <c r="G57" s="251" t="str">
        <f ca="1">IF(OR(R56=0,R56=""),"vazia",IF(AND(OR(ACOMPANHAMENTO="PLE",$Q56&lt;&gt;2),$E57=0),"calculada","--&gt;"))</f>
        <v>vazia</v>
      </c>
      <c r="H57" s="252"/>
      <c r="I57" s="253" t="str">
        <f ca="1">IF(AND(G56&lt;&gt;0,ISNUMBER(G56)),"PREENCHA ESTA LINHA --&gt;","")</f>
        <v/>
      </c>
      <c r="J57" s="253"/>
      <c r="K57" s="253"/>
      <c r="L57" s="254"/>
      <c r="M57" s="254"/>
      <c r="N57" s="254"/>
      <c r="O57" s="254"/>
      <c r="P57" s="254"/>
      <c r="Q57" s="254"/>
      <c r="R57" s="255"/>
      <c r="S57" s="256"/>
      <c r="T57" s="620"/>
      <c r="U57" s="619"/>
      <c r="V57" s="619"/>
      <c r="W57" s="619"/>
      <c r="X57" s="619"/>
      <c r="Y57" s="619"/>
      <c r="Z57" s="619"/>
      <c r="AA57" s="619"/>
      <c r="AB57" s="619"/>
      <c r="AC57" s="619"/>
      <c r="AD57" s="619"/>
      <c r="AE57" s="621"/>
      <c r="AF57" s="579"/>
    </row>
    <row r="58" spans="1:32" ht="0.2" hidden="1" customHeight="1" x14ac:dyDescent="0.2">
      <c r="D58" s="257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8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8"/>
      <c r="R58" s="259" t="str">
        <f ca="1">L56&amp;"$"</f>
        <v>1$</v>
      </c>
      <c r="S58" s="260"/>
      <c r="T58" s="261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7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7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7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7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7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7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7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7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7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7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2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8">
        <f ca="1">OFFSET(A59,-3,0)+1</f>
        <v>16</v>
      </c>
      <c r="B59" s="238">
        <f ca="1">IF($Q59&lt;&gt;2,0,IF($R59=0,1,IF(E60&gt;0,OFFSET(QCI!$M$13,SUBSTITUTE(E60,".",""),0),OFFSET(ORÇAMENTO!$AA$15,CRONO!$E59,0))/$R59))</f>
        <v>0</v>
      </c>
      <c r="C59" s="238">
        <f ca="1">IF($Q59&lt;&gt;2,0,IF($R59=0,1,IF(E60&gt;0,OFFSET(QCI!$N$13,SUBSTITUTE(E60,".",""),0),OFFSET(ORÇAMENTO!$AB$15,CRONO!$E59,0))/$R59))</f>
        <v>0</v>
      </c>
      <c r="D59" s="241" t="e">
        <f ca="1">IF(AND($Q59=2,ACOMPANHAMENTO="BM"),D60,D61/$R59)</f>
        <v>#VALUE!</v>
      </c>
      <c r="E59" s="238" t="e">
        <f ca="1">IF(A59&lt;=ORÇAMENTO.MáximoListaCrono,MATCH(A59,ORÇAMENTO.ListaCrono,0),NA())</f>
        <v>#N/A</v>
      </c>
      <c r="F59" s="238" t="str">
        <f ca="1">IF(AND($E60&lt;&gt;-1,$R59&gt;0),"F","")</f>
        <v/>
      </c>
      <c r="G59" s="242" t="str">
        <f ca="1">IF(OR(R59=0,R59=""),"Linha",IF(AND(OR(ACOMPANHAMENTO="PLE",$Q59&lt;&gt;2),$E60=0),"Linha",1-SUM(T59:AF59)))</f>
        <v>Linha</v>
      </c>
      <c r="H59" s="243" t="str">
        <f ca="1">IF($E60=0,OFFSET(ORÇAMENTO!O$15,$E59,0),IF($E60&lt;&gt;-1,OFFSET(QCI!$D$13,$E60,0),""))</f>
        <v/>
      </c>
      <c r="I59" s="244" t="str">
        <f ca="1">IF($E60=0,OFFSET(ORÇAMENTO!R$15,$E59,0),IF($E60&lt;&gt;-1,OFFSET(QCI!$G$13,$E60,0),""))</f>
        <v/>
      </c>
      <c r="J59" s="244"/>
      <c r="K59" s="244"/>
      <c r="L59" s="245">
        <f ca="1">IF($E60=0,OFFSET(ORÇAMENTO!C$15,$E59,0),1)</f>
        <v>1</v>
      </c>
      <c r="M59" s="246">
        <f ca="1">IF($E60=-1,0,IF(M$13&lt;=$L59,IF(ISERROR(MATCH(M$13,OFFSET($L59,1,0,ROW($L$164)-ROW($L59)-1),0)),ROW($L$164)-ROW($L59)-1,MATCH(M$13,OFFSET($L59,1,0,ROW($L$164)-ROW($L59)-1),0)-1),0))</f>
        <v>0</v>
      </c>
      <c r="N59" s="246">
        <f ca="1">IF($E60=-1,0,IF(N$13&lt;=$L59,IF(ISERROR(MATCH(N$13,OFFSET($L59,1,0,ROW($L$164)-ROW($L59)-1),0)),ROW($L$164)-ROW($L59)-1,MATCH(N$13,OFFSET($L59,1,0,ROW($L$164)-ROW($L59)-1),0)-1),0))</f>
        <v>0</v>
      </c>
      <c r="O59" s="246">
        <f ca="1">IF($E60=-1,0,IF(O$13&lt;=$L59,IF(ISERROR(MATCH(O$13,OFFSET($L59,1,0,ROW($L$164)-ROW($L59)-1),0)),ROW($L$164)-ROW($L59)-1,MATCH(O$13,OFFSET($L59,1,0,ROW($L$164)-ROW($L59)-1),0)-1),0))</f>
        <v>0</v>
      </c>
      <c r="P59" s="246">
        <f ca="1">IF($E60=-1,0,IF(P$13&lt;=$L59,IF(ISERROR(MATCH(P$13,OFFSET($L59,1,0,ROW($L$164)-ROW($L59)-1),0)),ROW($L$164)-ROW($L59)-1,MATCH(P$13,OFFSET($L59,1,0,ROW($L$164)-ROW($L59)-1),0)-1),0))</f>
        <v>0</v>
      </c>
      <c r="Q59" s="246">
        <f ca="1">MIN(OFFSET(L59,0,1,,L59))</f>
        <v>0</v>
      </c>
      <c r="R59" s="247" t="str">
        <f ca="1">IF($E60=0,OFFSET(ORÇAMENTO!X$15,$E59,0),IF($E60&lt;&gt;-1,OFFSET(QCI!$O$13,$E60,0),""))</f>
        <v/>
      </c>
      <c r="S59" s="248" t="s">
        <v>269</v>
      </c>
      <c r="T59" s="249" t="e">
        <f t="shared" ref="T59:AE59" ca="1" si="18">IF(AND($Q59=2,ACOMPANHAMENTO="BM"),T60,T61/$R59)</f>
        <v>#VALUE!</v>
      </c>
      <c r="U59" s="241" t="e">
        <f t="shared" ca="1" si="18"/>
        <v>#VALUE!</v>
      </c>
      <c r="V59" s="241" t="e">
        <f t="shared" ca="1" si="18"/>
        <v>#VALUE!</v>
      </c>
      <c r="W59" s="241" t="e">
        <f t="shared" ca="1" si="18"/>
        <v>#VALUE!</v>
      </c>
      <c r="X59" s="241" t="e">
        <f t="shared" ca="1" si="18"/>
        <v>#VALUE!</v>
      </c>
      <c r="Y59" s="241" t="e">
        <f t="shared" ca="1" si="18"/>
        <v>#VALUE!</v>
      </c>
      <c r="Z59" s="241" t="e">
        <f t="shared" ca="1" si="18"/>
        <v>#VALUE!</v>
      </c>
      <c r="AA59" s="241" t="e">
        <f t="shared" ca="1" si="18"/>
        <v>#VALUE!</v>
      </c>
      <c r="AB59" s="241" t="e">
        <f t="shared" ca="1" si="18"/>
        <v>#VALUE!</v>
      </c>
      <c r="AC59" s="241" t="e">
        <f t="shared" ca="1" si="18"/>
        <v>#VALUE!</v>
      </c>
      <c r="AD59" s="241" t="e">
        <f t="shared" ca="1" si="18"/>
        <v>#VALUE!</v>
      </c>
      <c r="AE59" s="250" t="e">
        <f t="shared" ca="1" si="18"/>
        <v>#VALUE!</v>
      </c>
    </row>
    <row r="60" spans="1:32" ht="12.75" hidden="1" customHeight="1" x14ac:dyDescent="0.2">
      <c r="D60" s="619"/>
      <c r="E60" s="238">
        <f ca="1">IF(ISERROR(E59),IF(1+COUNTIF($L$13:OFFSET(L59,-1,0),1)&lt;=MAX(QCI!$D$13:$D$24),1+COUNTIF($L$13:OFFSET(L59,-1,0),1),-1),0)</f>
        <v>-1</v>
      </c>
      <c r="F60" s="238" t="str">
        <f ca="1">IF(AND($E60&lt;&gt;-1,$R59&gt;0),"F","")</f>
        <v/>
      </c>
      <c r="G60" s="251" t="str">
        <f ca="1">IF(OR(R59=0,R59=""),"vazia",IF(AND(OR(ACOMPANHAMENTO="PLE",$Q59&lt;&gt;2),$E60=0),"calculada","--&gt;"))</f>
        <v>vazia</v>
      </c>
      <c r="H60" s="252"/>
      <c r="I60" s="253" t="str">
        <f ca="1">IF(AND(G59&lt;&gt;0,ISNUMBER(G59)),"PREENCHA ESTA LINHA --&gt;","")</f>
        <v/>
      </c>
      <c r="J60" s="253"/>
      <c r="K60" s="253"/>
      <c r="L60" s="254"/>
      <c r="M60" s="254"/>
      <c r="N60" s="254"/>
      <c r="O60" s="254"/>
      <c r="P60" s="254"/>
      <c r="Q60" s="254"/>
      <c r="R60" s="255"/>
      <c r="S60" s="256"/>
      <c r="T60" s="620"/>
      <c r="U60" s="619"/>
      <c r="V60" s="619"/>
      <c r="W60" s="619"/>
      <c r="X60" s="619"/>
      <c r="Y60" s="619"/>
      <c r="Z60" s="619"/>
      <c r="AA60" s="619"/>
      <c r="AB60" s="619"/>
      <c r="AC60" s="619"/>
      <c r="AD60" s="619"/>
      <c r="AE60" s="621"/>
      <c r="AF60" s="579"/>
    </row>
    <row r="61" spans="1:32" ht="0.2" hidden="1" customHeight="1" x14ac:dyDescent="0.2">
      <c r="D61" s="257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8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8"/>
      <c r="R61" s="259" t="str">
        <f ca="1">L59&amp;"$"</f>
        <v>1$</v>
      </c>
      <c r="S61" s="260"/>
      <c r="T61" s="261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7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7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7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7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7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7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7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7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7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7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2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8">
        <f ca="1">OFFSET(A62,-3,0)+1</f>
        <v>17</v>
      </c>
      <c r="B62" s="238">
        <f ca="1">IF($Q62&lt;&gt;2,0,IF($R62=0,1,IF(E63&gt;0,OFFSET(QCI!$M$13,SUBSTITUTE(E63,".",""),0),OFFSET(ORÇAMENTO!$AA$15,CRONO!$E62,0))/$R62))</f>
        <v>0</v>
      </c>
      <c r="C62" s="238">
        <f ca="1">IF($Q62&lt;&gt;2,0,IF($R62=0,1,IF(E63&gt;0,OFFSET(QCI!$N$13,SUBSTITUTE(E63,".",""),0),OFFSET(ORÇAMENTO!$AB$15,CRONO!$E62,0))/$R62))</f>
        <v>0</v>
      </c>
      <c r="D62" s="241" t="e">
        <f ca="1">IF(AND($Q62=2,ACOMPANHAMENTO="BM"),D63,D64/$R62)</f>
        <v>#VALUE!</v>
      </c>
      <c r="E62" s="238" t="e">
        <f ca="1">IF(A62&lt;=ORÇAMENTO.MáximoListaCrono,MATCH(A62,ORÇAMENTO.ListaCrono,0),NA())</f>
        <v>#N/A</v>
      </c>
      <c r="F62" s="238" t="str">
        <f ca="1">IF(AND($E63&lt;&gt;-1,$R62&gt;0),"F","")</f>
        <v/>
      </c>
      <c r="G62" s="242" t="str">
        <f ca="1">IF(OR(R62=0,R62=""),"Linha",IF(AND(OR(ACOMPANHAMENTO="PLE",$Q62&lt;&gt;2),$E63=0),"Linha",1-SUM(T62:AF62)))</f>
        <v>Linha</v>
      </c>
      <c r="H62" s="243" t="str">
        <f ca="1">IF($E63=0,OFFSET(ORÇAMENTO!O$15,$E62,0),IF($E63&lt;&gt;-1,OFFSET(QCI!$D$13,$E63,0),""))</f>
        <v/>
      </c>
      <c r="I62" s="244" t="str">
        <f ca="1">IF($E63=0,OFFSET(ORÇAMENTO!R$15,$E62,0),IF($E63&lt;&gt;-1,OFFSET(QCI!$G$13,$E63,0),""))</f>
        <v/>
      </c>
      <c r="J62" s="244"/>
      <c r="K62" s="244"/>
      <c r="L62" s="245">
        <f ca="1">IF($E63=0,OFFSET(ORÇAMENTO!C$15,$E62,0),1)</f>
        <v>1</v>
      </c>
      <c r="M62" s="246">
        <f ca="1">IF($E63=-1,0,IF(M$13&lt;=$L62,IF(ISERROR(MATCH(M$13,OFFSET($L62,1,0,ROW($L$164)-ROW($L62)-1),0)),ROW($L$164)-ROW($L62)-1,MATCH(M$13,OFFSET($L62,1,0,ROW($L$164)-ROW($L62)-1),0)-1),0))</f>
        <v>0</v>
      </c>
      <c r="N62" s="246">
        <f ca="1">IF($E63=-1,0,IF(N$13&lt;=$L62,IF(ISERROR(MATCH(N$13,OFFSET($L62,1,0,ROW($L$164)-ROW($L62)-1),0)),ROW($L$164)-ROW($L62)-1,MATCH(N$13,OFFSET($L62,1,0,ROW($L$164)-ROW($L62)-1),0)-1),0))</f>
        <v>0</v>
      </c>
      <c r="O62" s="246">
        <f ca="1">IF($E63=-1,0,IF(O$13&lt;=$L62,IF(ISERROR(MATCH(O$13,OFFSET($L62,1,0,ROW($L$164)-ROW($L62)-1),0)),ROW($L$164)-ROW($L62)-1,MATCH(O$13,OFFSET($L62,1,0,ROW($L$164)-ROW($L62)-1),0)-1),0))</f>
        <v>0</v>
      </c>
      <c r="P62" s="246">
        <f ca="1">IF($E63=-1,0,IF(P$13&lt;=$L62,IF(ISERROR(MATCH(P$13,OFFSET($L62,1,0,ROW($L$164)-ROW($L62)-1),0)),ROW($L$164)-ROW($L62)-1,MATCH(P$13,OFFSET($L62,1,0,ROW($L$164)-ROW($L62)-1),0)-1),0))</f>
        <v>0</v>
      </c>
      <c r="Q62" s="246">
        <f ca="1">MIN(OFFSET(L62,0,1,,L62))</f>
        <v>0</v>
      </c>
      <c r="R62" s="247" t="str">
        <f ca="1">IF($E63=0,OFFSET(ORÇAMENTO!X$15,$E62,0),IF($E63&lt;&gt;-1,OFFSET(QCI!$O$13,$E63,0),""))</f>
        <v/>
      </c>
      <c r="S62" s="248" t="s">
        <v>269</v>
      </c>
      <c r="T62" s="249" t="e">
        <f t="shared" ref="T62:AE62" ca="1" si="19">IF(AND($Q62=2,ACOMPANHAMENTO="BM"),T63,T64/$R62)</f>
        <v>#VALUE!</v>
      </c>
      <c r="U62" s="241" t="e">
        <f t="shared" ca="1" si="19"/>
        <v>#VALUE!</v>
      </c>
      <c r="V62" s="241" t="e">
        <f t="shared" ca="1" si="19"/>
        <v>#VALUE!</v>
      </c>
      <c r="W62" s="241" t="e">
        <f t="shared" ca="1" si="19"/>
        <v>#VALUE!</v>
      </c>
      <c r="X62" s="241" t="e">
        <f t="shared" ca="1" si="19"/>
        <v>#VALUE!</v>
      </c>
      <c r="Y62" s="241" t="e">
        <f t="shared" ca="1" si="19"/>
        <v>#VALUE!</v>
      </c>
      <c r="Z62" s="241" t="e">
        <f t="shared" ca="1" si="19"/>
        <v>#VALUE!</v>
      </c>
      <c r="AA62" s="241" t="e">
        <f t="shared" ca="1" si="19"/>
        <v>#VALUE!</v>
      </c>
      <c r="AB62" s="241" t="e">
        <f t="shared" ca="1" si="19"/>
        <v>#VALUE!</v>
      </c>
      <c r="AC62" s="241" t="e">
        <f t="shared" ca="1" si="19"/>
        <v>#VALUE!</v>
      </c>
      <c r="AD62" s="241" t="e">
        <f t="shared" ca="1" si="19"/>
        <v>#VALUE!</v>
      </c>
      <c r="AE62" s="250" t="e">
        <f t="shared" ca="1" si="19"/>
        <v>#VALUE!</v>
      </c>
    </row>
    <row r="63" spans="1:32" ht="12.75" hidden="1" customHeight="1" x14ac:dyDescent="0.2">
      <c r="D63" s="619"/>
      <c r="E63" s="238">
        <f ca="1">IF(ISERROR(E62),IF(1+COUNTIF($L$13:OFFSET(L62,-1,0),1)&lt;=MAX(QCI!$D$13:$D$24),1+COUNTIF($L$13:OFFSET(L62,-1,0),1),-1),0)</f>
        <v>-1</v>
      </c>
      <c r="F63" s="238" t="str">
        <f ca="1">IF(AND($E63&lt;&gt;-1,$R62&gt;0),"F","")</f>
        <v/>
      </c>
      <c r="G63" s="251" t="str">
        <f ca="1">IF(OR(R62=0,R62=""),"vazia",IF(AND(OR(ACOMPANHAMENTO="PLE",$Q62&lt;&gt;2),$E63=0),"calculada","--&gt;"))</f>
        <v>vazia</v>
      </c>
      <c r="H63" s="252"/>
      <c r="I63" s="253" t="str">
        <f ca="1">IF(AND(G62&lt;&gt;0,ISNUMBER(G62)),"PREENCHA ESTA LINHA --&gt;","")</f>
        <v/>
      </c>
      <c r="J63" s="253"/>
      <c r="K63" s="253"/>
      <c r="L63" s="254"/>
      <c r="M63" s="254"/>
      <c r="N63" s="254"/>
      <c r="O63" s="254"/>
      <c r="P63" s="254"/>
      <c r="Q63" s="254"/>
      <c r="R63" s="255"/>
      <c r="S63" s="256"/>
      <c r="T63" s="620"/>
      <c r="U63" s="619"/>
      <c r="V63" s="619"/>
      <c r="W63" s="619"/>
      <c r="X63" s="619"/>
      <c r="Y63" s="619"/>
      <c r="Z63" s="619"/>
      <c r="AA63" s="619"/>
      <c r="AB63" s="619"/>
      <c r="AC63" s="619"/>
      <c r="AD63" s="619"/>
      <c r="AE63" s="621"/>
      <c r="AF63" s="579"/>
    </row>
    <row r="64" spans="1:32" ht="0.2" hidden="1" customHeight="1" x14ac:dyDescent="0.2">
      <c r="D64" s="257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8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8"/>
      <c r="R64" s="259" t="str">
        <f ca="1">L62&amp;"$"</f>
        <v>1$</v>
      </c>
      <c r="S64" s="260"/>
      <c r="T64" s="261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7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7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7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7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7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7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7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7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7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7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2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8">
        <f ca="1">OFFSET(A65,-3,0)+1</f>
        <v>18</v>
      </c>
      <c r="B65" s="238">
        <f ca="1">IF($Q65&lt;&gt;2,0,IF($R65=0,1,IF(E66&gt;0,OFFSET(QCI!$M$13,SUBSTITUTE(E66,".",""),0),OFFSET(ORÇAMENTO!$AA$15,CRONO!$E65,0))/$R65))</f>
        <v>0</v>
      </c>
      <c r="C65" s="238">
        <f ca="1">IF($Q65&lt;&gt;2,0,IF($R65=0,1,IF(E66&gt;0,OFFSET(QCI!$N$13,SUBSTITUTE(E66,".",""),0),OFFSET(ORÇAMENTO!$AB$15,CRONO!$E65,0))/$R65))</f>
        <v>0</v>
      </c>
      <c r="D65" s="241" t="e">
        <f ca="1">IF(AND($Q65=2,ACOMPANHAMENTO="BM"),D66,D67/$R65)</f>
        <v>#VALUE!</v>
      </c>
      <c r="E65" s="238" t="e">
        <f ca="1">IF(A65&lt;=ORÇAMENTO.MáximoListaCrono,MATCH(A65,ORÇAMENTO.ListaCrono,0),NA())</f>
        <v>#N/A</v>
      </c>
      <c r="F65" s="238" t="str">
        <f ca="1">IF(AND($E66&lt;&gt;-1,$R65&gt;0),"F","")</f>
        <v/>
      </c>
      <c r="G65" s="242" t="str">
        <f ca="1">IF(OR(R65=0,R65=""),"Linha",IF(AND(OR(ACOMPANHAMENTO="PLE",$Q65&lt;&gt;2),$E66=0),"Linha",1-SUM(T65:AF65)))</f>
        <v>Linha</v>
      </c>
      <c r="H65" s="243" t="str">
        <f ca="1">IF($E66=0,OFFSET(ORÇAMENTO!O$15,$E65,0),IF($E66&lt;&gt;-1,OFFSET(QCI!$D$13,$E66,0),""))</f>
        <v/>
      </c>
      <c r="I65" s="244" t="str">
        <f ca="1">IF($E66=0,OFFSET(ORÇAMENTO!R$15,$E65,0),IF($E66&lt;&gt;-1,OFFSET(QCI!$G$13,$E66,0),""))</f>
        <v/>
      </c>
      <c r="J65" s="244"/>
      <c r="K65" s="244"/>
      <c r="L65" s="245">
        <f ca="1">IF($E66=0,OFFSET(ORÇAMENTO!C$15,$E65,0),1)</f>
        <v>1</v>
      </c>
      <c r="M65" s="246">
        <f ca="1">IF($E66=-1,0,IF(M$13&lt;=$L65,IF(ISERROR(MATCH(M$13,OFFSET($L65,1,0,ROW($L$164)-ROW($L65)-1),0)),ROW($L$164)-ROW($L65)-1,MATCH(M$13,OFFSET($L65,1,0,ROW($L$164)-ROW($L65)-1),0)-1),0))</f>
        <v>0</v>
      </c>
      <c r="N65" s="246">
        <f ca="1">IF($E66=-1,0,IF(N$13&lt;=$L65,IF(ISERROR(MATCH(N$13,OFFSET($L65,1,0,ROW($L$164)-ROW($L65)-1),0)),ROW($L$164)-ROW($L65)-1,MATCH(N$13,OFFSET($L65,1,0,ROW($L$164)-ROW($L65)-1),0)-1),0))</f>
        <v>0</v>
      </c>
      <c r="O65" s="246">
        <f ca="1">IF($E66=-1,0,IF(O$13&lt;=$L65,IF(ISERROR(MATCH(O$13,OFFSET($L65,1,0,ROW($L$164)-ROW($L65)-1),0)),ROW($L$164)-ROW($L65)-1,MATCH(O$13,OFFSET($L65,1,0,ROW($L$164)-ROW($L65)-1),0)-1),0))</f>
        <v>0</v>
      </c>
      <c r="P65" s="246">
        <f ca="1">IF($E66=-1,0,IF(P$13&lt;=$L65,IF(ISERROR(MATCH(P$13,OFFSET($L65,1,0,ROW($L$164)-ROW($L65)-1),0)),ROW($L$164)-ROW($L65)-1,MATCH(P$13,OFFSET($L65,1,0,ROW($L$164)-ROW($L65)-1),0)-1),0))</f>
        <v>0</v>
      </c>
      <c r="Q65" s="246">
        <f ca="1">MIN(OFFSET(L65,0,1,,L65))</f>
        <v>0</v>
      </c>
      <c r="R65" s="247" t="str">
        <f ca="1">IF($E66=0,OFFSET(ORÇAMENTO!X$15,$E65,0),IF($E66&lt;&gt;-1,OFFSET(QCI!$O$13,$E66,0),""))</f>
        <v/>
      </c>
      <c r="S65" s="248" t="s">
        <v>269</v>
      </c>
      <c r="T65" s="249" t="e">
        <f t="shared" ref="T65:AE65" ca="1" si="20">IF(AND($Q65=2,ACOMPANHAMENTO="BM"),T66,T67/$R65)</f>
        <v>#VALUE!</v>
      </c>
      <c r="U65" s="241" t="e">
        <f t="shared" ca="1" si="20"/>
        <v>#VALUE!</v>
      </c>
      <c r="V65" s="241" t="e">
        <f t="shared" ca="1" si="20"/>
        <v>#VALUE!</v>
      </c>
      <c r="W65" s="241" t="e">
        <f t="shared" ca="1" si="20"/>
        <v>#VALUE!</v>
      </c>
      <c r="X65" s="241" t="e">
        <f t="shared" ca="1" si="20"/>
        <v>#VALUE!</v>
      </c>
      <c r="Y65" s="241" t="e">
        <f t="shared" ca="1" si="20"/>
        <v>#VALUE!</v>
      </c>
      <c r="Z65" s="241" t="e">
        <f t="shared" ca="1" si="20"/>
        <v>#VALUE!</v>
      </c>
      <c r="AA65" s="241" t="e">
        <f t="shared" ca="1" si="20"/>
        <v>#VALUE!</v>
      </c>
      <c r="AB65" s="241" t="e">
        <f t="shared" ca="1" si="20"/>
        <v>#VALUE!</v>
      </c>
      <c r="AC65" s="241" t="e">
        <f t="shared" ca="1" si="20"/>
        <v>#VALUE!</v>
      </c>
      <c r="AD65" s="241" t="e">
        <f t="shared" ca="1" si="20"/>
        <v>#VALUE!</v>
      </c>
      <c r="AE65" s="250" t="e">
        <f t="shared" ca="1" si="20"/>
        <v>#VALUE!</v>
      </c>
    </row>
    <row r="66" spans="1:32" ht="12.75" hidden="1" customHeight="1" x14ac:dyDescent="0.2">
      <c r="D66" s="619"/>
      <c r="E66" s="238">
        <f ca="1">IF(ISERROR(E65),IF(1+COUNTIF($L$13:OFFSET(L65,-1,0),1)&lt;=MAX(QCI!$D$13:$D$24),1+COUNTIF($L$13:OFFSET(L65,-1,0),1),-1),0)</f>
        <v>-1</v>
      </c>
      <c r="F66" s="238" t="str">
        <f ca="1">IF(AND($E66&lt;&gt;-1,$R65&gt;0),"F","")</f>
        <v/>
      </c>
      <c r="G66" s="251" t="str">
        <f ca="1">IF(OR(R65=0,R65=""),"vazia",IF(AND(OR(ACOMPANHAMENTO="PLE",$Q65&lt;&gt;2),$E66=0),"calculada","--&gt;"))</f>
        <v>vazia</v>
      </c>
      <c r="H66" s="252"/>
      <c r="I66" s="253" t="str">
        <f ca="1">IF(AND(G65&lt;&gt;0,ISNUMBER(G65)),"PREENCHA ESTA LINHA --&gt;","")</f>
        <v/>
      </c>
      <c r="J66" s="253"/>
      <c r="K66" s="253"/>
      <c r="L66" s="254"/>
      <c r="M66" s="254"/>
      <c r="N66" s="254"/>
      <c r="O66" s="254"/>
      <c r="P66" s="254"/>
      <c r="Q66" s="254"/>
      <c r="R66" s="255"/>
      <c r="S66" s="256"/>
      <c r="T66" s="620"/>
      <c r="U66" s="619"/>
      <c r="V66" s="619"/>
      <c r="W66" s="619"/>
      <c r="X66" s="619"/>
      <c r="Y66" s="619"/>
      <c r="Z66" s="619"/>
      <c r="AA66" s="619"/>
      <c r="AB66" s="619"/>
      <c r="AC66" s="619"/>
      <c r="AD66" s="619"/>
      <c r="AE66" s="621"/>
      <c r="AF66" s="579"/>
    </row>
    <row r="67" spans="1:32" ht="0.2" hidden="1" customHeight="1" x14ac:dyDescent="0.2">
      <c r="D67" s="257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8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8"/>
      <c r="R67" s="259" t="str">
        <f ca="1">L65&amp;"$"</f>
        <v>1$</v>
      </c>
      <c r="S67" s="260"/>
      <c r="T67" s="261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7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7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7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7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7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7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7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7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7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7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2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8">
        <f ca="1">OFFSET(A68,-3,0)+1</f>
        <v>19</v>
      </c>
      <c r="B68" s="238">
        <f ca="1">IF($Q68&lt;&gt;2,0,IF($R68=0,1,IF(E69&gt;0,OFFSET(QCI!$M$13,SUBSTITUTE(E69,".",""),0),OFFSET(ORÇAMENTO!$AA$15,CRONO!$E68,0))/$R68))</f>
        <v>0</v>
      </c>
      <c r="C68" s="238">
        <f ca="1">IF($Q68&lt;&gt;2,0,IF($R68=0,1,IF(E69&gt;0,OFFSET(QCI!$N$13,SUBSTITUTE(E69,".",""),0),OFFSET(ORÇAMENTO!$AB$15,CRONO!$E68,0))/$R68))</f>
        <v>0</v>
      </c>
      <c r="D68" s="241" t="e">
        <f ca="1">IF(AND($Q68=2,ACOMPANHAMENTO="BM"),D69,D70/$R68)</f>
        <v>#VALUE!</v>
      </c>
      <c r="E68" s="238" t="e">
        <f ca="1">IF(A68&lt;=ORÇAMENTO.MáximoListaCrono,MATCH(A68,ORÇAMENTO.ListaCrono,0),NA())</f>
        <v>#N/A</v>
      </c>
      <c r="F68" s="238" t="str">
        <f ca="1">IF(AND($E69&lt;&gt;-1,$R68&gt;0),"F","")</f>
        <v/>
      </c>
      <c r="G68" s="242" t="str">
        <f ca="1">IF(OR(R68=0,R68=""),"Linha",IF(AND(OR(ACOMPANHAMENTO="PLE",$Q68&lt;&gt;2),$E69=0),"Linha",1-SUM(T68:AF68)))</f>
        <v>Linha</v>
      </c>
      <c r="H68" s="243" t="str">
        <f ca="1">IF($E69=0,OFFSET(ORÇAMENTO!O$15,$E68,0),IF($E69&lt;&gt;-1,OFFSET(QCI!$D$13,$E69,0),""))</f>
        <v/>
      </c>
      <c r="I68" s="244" t="str">
        <f ca="1">IF($E69=0,OFFSET(ORÇAMENTO!R$15,$E68,0),IF($E69&lt;&gt;-1,OFFSET(QCI!$G$13,$E69,0),""))</f>
        <v/>
      </c>
      <c r="J68" s="244"/>
      <c r="K68" s="244"/>
      <c r="L68" s="245">
        <f ca="1">IF($E69=0,OFFSET(ORÇAMENTO!C$15,$E68,0),1)</f>
        <v>1</v>
      </c>
      <c r="M68" s="246">
        <f ca="1">IF($E69=-1,0,IF(M$13&lt;=$L68,IF(ISERROR(MATCH(M$13,OFFSET($L68,1,0,ROW($L$164)-ROW($L68)-1),0)),ROW($L$164)-ROW($L68)-1,MATCH(M$13,OFFSET($L68,1,0,ROW($L$164)-ROW($L68)-1),0)-1),0))</f>
        <v>0</v>
      </c>
      <c r="N68" s="246">
        <f ca="1">IF($E69=-1,0,IF(N$13&lt;=$L68,IF(ISERROR(MATCH(N$13,OFFSET($L68,1,0,ROW($L$164)-ROW($L68)-1),0)),ROW($L$164)-ROW($L68)-1,MATCH(N$13,OFFSET($L68,1,0,ROW($L$164)-ROW($L68)-1),0)-1),0))</f>
        <v>0</v>
      </c>
      <c r="O68" s="246">
        <f ca="1">IF($E69=-1,0,IF(O$13&lt;=$L68,IF(ISERROR(MATCH(O$13,OFFSET($L68,1,0,ROW($L$164)-ROW($L68)-1),0)),ROW($L$164)-ROW($L68)-1,MATCH(O$13,OFFSET($L68,1,0,ROW($L$164)-ROW($L68)-1),0)-1),0))</f>
        <v>0</v>
      </c>
      <c r="P68" s="246">
        <f ca="1">IF($E69=-1,0,IF(P$13&lt;=$L68,IF(ISERROR(MATCH(P$13,OFFSET($L68,1,0,ROW($L$164)-ROW($L68)-1),0)),ROW($L$164)-ROW($L68)-1,MATCH(P$13,OFFSET($L68,1,0,ROW($L$164)-ROW($L68)-1),0)-1),0))</f>
        <v>0</v>
      </c>
      <c r="Q68" s="246">
        <f ca="1">MIN(OFFSET(L68,0,1,,L68))</f>
        <v>0</v>
      </c>
      <c r="R68" s="247" t="str">
        <f ca="1">IF($E69=0,OFFSET(ORÇAMENTO!X$15,$E68,0),IF($E69&lt;&gt;-1,OFFSET(QCI!$O$13,$E69,0),""))</f>
        <v/>
      </c>
      <c r="S68" s="248" t="s">
        <v>269</v>
      </c>
      <c r="T68" s="249" t="e">
        <f t="shared" ref="T68:AE68" ca="1" si="21">IF(AND($Q68=2,ACOMPANHAMENTO="BM"),T69,T70/$R68)</f>
        <v>#VALUE!</v>
      </c>
      <c r="U68" s="241" t="e">
        <f t="shared" ca="1" si="21"/>
        <v>#VALUE!</v>
      </c>
      <c r="V68" s="241" t="e">
        <f t="shared" ca="1" si="21"/>
        <v>#VALUE!</v>
      </c>
      <c r="W68" s="241" t="e">
        <f t="shared" ca="1" si="21"/>
        <v>#VALUE!</v>
      </c>
      <c r="X68" s="241" t="e">
        <f t="shared" ca="1" si="21"/>
        <v>#VALUE!</v>
      </c>
      <c r="Y68" s="241" t="e">
        <f t="shared" ca="1" si="21"/>
        <v>#VALUE!</v>
      </c>
      <c r="Z68" s="241" t="e">
        <f t="shared" ca="1" si="21"/>
        <v>#VALUE!</v>
      </c>
      <c r="AA68" s="241" t="e">
        <f t="shared" ca="1" si="21"/>
        <v>#VALUE!</v>
      </c>
      <c r="AB68" s="241" t="e">
        <f t="shared" ca="1" si="21"/>
        <v>#VALUE!</v>
      </c>
      <c r="AC68" s="241" t="e">
        <f t="shared" ca="1" si="21"/>
        <v>#VALUE!</v>
      </c>
      <c r="AD68" s="241" t="e">
        <f t="shared" ca="1" si="21"/>
        <v>#VALUE!</v>
      </c>
      <c r="AE68" s="250" t="e">
        <f t="shared" ca="1" si="21"/>
        <v>#VALUE!</v>
      </c>
    </row>
    <row r="69" spans="1:32" ht="12.75" hidden="1" customHeight="1" x14ac:dyDescent="0.2">
      <c r="D69" s="619"/>
      <c r="E69" s="238">
        <f ca="1">IF(ISERROR(E68),IF(1+COUNTIF($L$13:OFFSET(L68,-1,0),1)&lt;=MAX(QCI!$D$13:$D$24),1+COUNTIF($L$13:OFFSET(L68,-1,0),1),-1),0)</f>
        <v>-1</v>
      </c>
      <c r="F69" s="238" t="str">
        <f ca="1">IF(AND($E69&lt;&gt;-1,$R68&gt;0),"F","")</f>
        <v/>
      </c>
      <c r="G69" s="251" t="str">
        <f ca="1">IF(OR(R68=0,R68=""),"vazia",IF(AND(OR(ACOMPANHAMENTO="PLE",$Q68&lt;&gt;2),$E69=0),"calculada","--&gt;"))</f>
        <v>vazia</v>
      </c>
      <c r="H69" s="252"/>
      <c r="I69" s="253" t="str">
        <f ca="1">IF(AND(G68&lt;&gt;0,ISNUMBER(G68)),"PREENCHA ESTA LINHA --&gt;","")</f>
        <v/>
      </c>
      <c r="J69" s="253"/>
      <c r="K69" s="253"/>
      <c r="L69" s="254"/>
      <c r="M69" s="254"/>
      <c r="N69" s="254"/>
      <c r="O69" s="254"/>
      <c r="P69" s="254"/>
      <c r="Q69" s="254"/>
      <c r="R69" s="255"/>
      <c r="S69" s="256"/>
      <c r="T69" s="620"/>
      <c r="U69" s="619"/>
      <c r="V69" s="619"/>
      <c r="W69" s="619"/>
      <c r="X69" s="619"/>
      <c r="Y69" s="619"/>
      <c r="Z69" s="619"/>
      <c r="AA69" s="619"/>
      <c r="AB69" s="619"/>
      <c r="AC69" s="619"/>
      <c r="AD69" s="619"/>
      <c r="AE69" s="621"/>
      <c r="AF69" s="579"/>
    </row>
    <row r="70" spans="1:32" ht="0.2" hidden="1" customHeight="1" x14ac:dyDescent="0.2">
      <c r="D70" s="257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8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8"/>
      <c r="R70" s="259" t="str">
        <f ca="1">L68&amp;"$"</f>
        <v>1$</v>
      </c>
      <c r="S70" s="260"/>
      <c r="T70" s="261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7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7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7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7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7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7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7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7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7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7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2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8">
        <f ca="1">OFFSET(A71,-3,0)+1</f>
        <v>20</v>
      </c>
      <c r="B71" s="238">
        <f ca="1">IF($Q71&lt;&gt;2,0,IF($R71=0,1,IF(E72&gt;0,OFFSET(QCI!$M$13,SUBSTITUTE(E72,".",""),0),OFFSET(ORÇAMENTO!$AA$15,CRONO!$E71,0))/$R71))</f>
        <v>0</v>
      </c>
      <c r="C71" s="238">
        <f ca="1">IF($Q71&lt;&gt;2,0,IF($R71=0,1,IF(E72&gt;0,OFFSET(QCI!$N$13,SUBSTITUTE(E72,".",""),0),OFFSET(ORÇAMENTO!$AB$15,CRONO!$E71,0))/$R71))</f>
        <v>0</v>
      </c>
      <c r="D71" s="241" t="e">
        <f ca="1">IF(AND($Q71=2,ACOMPANHAMENTO="BM"),D72,D73/$R71)</f>
        <v>#VALUE!</v>
      </c>
      <c r="E71" s="238" t="e">
        <f ca="1">IF(A71&lt;=ORÇAMENTO.MáximoListaCrono,MATCH(A71,ORÇAMENTO.ListaCrono,0),NA())</f>
        <v>#N/A</v>
      </c>
      <c r="F71" s="238" t="str">
        <f ca="1">IF(AND($E72&lt;&gt;-1,$R71&gt;0),"F","")</f>
        <v/>
      </c>
      <c r="G71" s="242" t="str">
        <f ca="1">IF(OR(R71=0,R71=""),"Linha",IF(AND(OR(ACOMPANHAMENTO="PLE",$Q71&lt;&gt;2),$E72=0),"Linha",1-SUM(T71:AF71)))</f>
        <v>Linha</v>
      </c>
      <c r="H71" s="243" t="str">
        <f ca="1">IF($E72=0,OFFSET(ORÇAMENTO!O$15,$E71,0),IF($E72&lt;&gt;-1,OFFSET(QCI!$D$13,$E72,0),""))</f>
        <v/>
      </c>
      <c r="I71" s="244" t="str">
        <f ca="1">IF($E72=0,OFFSET(ORÇAMENTO!R$15,$E71,0),IF($E72&lt;&gt;-1,OFFSET(QCI!$G$13,$E72,0),""))</f>
        <v/>
      </c>
      <c r="J71" s="244"/>
      <c r="K71" s="244"/>
      <c r="L71" s="245">
        <f ca="1">IF($E72=0,OFFSET(ORÇAMENTO!C$15,$E71,0),1)</f>
        <v>1</v>
      </c>
      <c r="M71" s="246">
        <f ca="1">IF($E72=-1,0,IF(M$13&lt;=$L71,IF(ISERROR(MATCH(M$13,OFFSET($L71,1,0,ROW($L$164)-ROW($L71)-1),0)),ROW($L$164)-ROW($L71)-1,MATCH(M$13,OFFSET($L71,1,0,ROW($L$164)-ROW($L71)-1),0)-1),0))</f>
        <v>0</v>
      </c>
      <c r="N71" s="246">
        <f ca="1">IF($E72=-1,0,IF(N$13&lt;=$L71,IF(ISERROR(MATCH(N$13,OFFSET($L71,1,0,ROW($L$164)-ROW($L71)-1),0)),ROW($L$164)-ROW($L71)-1,MATCH(N$13,OFFSET($L71,1,0,ROW($L$164)-ROW($L71)-1),0)-1),0))</f>
        <v>0</v>
      </c>
      <c r="O71" s="246">
        <f ca="1">IF($E72=-1,0,IF(O$13&lt;=$L71,IF(ISERROR(MATCH(O$13,OFFSET($L71,1,0,ROW($L$164)-ROW($L71)-1),0)),ROW($L$164)-ROW($L71)-1,MATCH(O$13,OFFSET($L71,1,0,ROW($L$164)-ROW($L71)-1),0)-1),0))</f>
        <v>0</v>
      </c>
      <c r="P71" s="246">
        <f ca="1">IF($E72=-1,0,IF(P$13&lt;=$L71,IF(ISERROR(MATCH(P$13,OFFSET($L71,1,0,ROW($L$164)-ROW($L71)-1),0)),ROW($L$164)-ROW($L71)-1,MATCH(P$13,OFFSET($L71,1,0,ROW($L$164)-ROW($L71)-1),0)-1),0))</f>
        <v>0</v>
      </c>
      <c r="Q71" s="246">
        <f ca="1">MIN(OFFSET(L71,0,1,,L71))</f>
        <v>0</v>
      </c>
      <c r="R71" s="247" t="str">
        <f ca="1">IF($E72=0,OFFSET(ORÇAMENTO!X$15,$E71,0),IF($E72&lt;&gt;-1,OFFSET(QCI!$O$13,$E72,0),""))</f>
        <v/>
      </c>
      <c r="S71" s="248" t="s">
        <v>269</v>
      </c>
      <c r="T71" s="249" t="e">
        <f t="shared" ref="T71:AE71" ca="1" si="22">IF(AND($Q71=2,ACOMPANHAMENTO="BM"),T72,T73/$R71)</f>
        <v>#VALUE!</v>
      </c>
      <c r="U71" s="241" t="e">
        <f t="shared" ca="1" si="22"/>
        <v>#VALUE!</v>
      </c>
      <c r="V71" s="241" t="e">
        <f t="shared" ca="1" si="22"/>
        <v>#VALUE!</v>
      </c>
      <c r="W71" s="241" t="e">
        <f t="shared" ca="1" si="22"/>
        <v>#VALUE!</v>
      </c>
      <c r="X71" s="241" t="e">
        <f t="shared" ca="1" si="22"/>
        <v>#VALUE!</v>
      </c>
      <c r="Y71" s="241" t="e">
        <f t="shared" ca="1" si="22"/>
        <v>#VALUE!</v>
      </c>
      <c r="Z71" s="241" t="e">
        <f t="shared" ca="1" si="22"/>
        <v>#VALUE!</v>
      </c>
      <c r="AA71" s="241" t="e">
        <f t="shared" ca="1" si="22"/>
        <v>#VALUE!</v>
      </c>
      <c r="AB71" s="241" t="e">
        <f t="shared" ca="1" si="22"/>
        <v>#VALUE!</v>
      </c>
      <c r="AC71" s="241" t="e">
        <f t="shared" ca="1" si="22"/>
        <v>#VALUE!</v>
      </c>
      <c r="AD71" s="241" t="e">
        <f t="shared" ca="1" si="22"/>
        <v>#VALUE!</v>
      </c>
      <c r="AE71" s="250" t="e">
        <f t="shared" ca="1" si="22"/>
        <v>#VALUE!</v>
      </c>
    </row>
    <row r="72" spans="1:32" ht="12.75" hidden="1" customHeight="1" x14ac:dyDescent="0.2">
      <c r="D72" s="619"/>
      <c r="E72" s="238">
        <f ca="1">IF(ISERROR(E71),IF(1+COUNTIF($L$13:OFFSET(L71,-1,0),1)&lt;=MAX(QCI!$D$13:$D$24),1+COUNTIF($L$13:OFFSET(L71,-1,0),1),-1),0)</f>
        <v>-1</v>
      </c>
      <c r="F72" s="238" t="str">
        <f ca="1">IF(AND($E72&lt;&gt;-1,$R71&gt;0),"F","")</f>
        <v/>
      </c>
      <c r="G72" s="251" t="str">
        <f ca="1">IF(OR(R71=0,R71=""),"vazia",IF(AND(OR(ACOMPANHAMENTO="PLE",$Q71&lt;&gt;2),$E72=0),"calculada","--&gt;"))</f>
        <v>vazia</v>
      </c>
      <c r="H72" s="252"/>
      <c r="I72" s="253" t="str">
        <f ca="1">IF(AND(G71&lt;&gt;0,ISNUMBER(G71)),"PREENCHA ESTA LINHA --&gt;","")</f>
        <v/>
      </c>
      <c r="J72" s="253"/>
      <c r="K72" s="253"/>
      <c r="L72" s="254"/>
      <c r="M72" s="254"/>
      <c r="N72" s="254"/>
      <c r="O72" s="254"/>
      <c r="P72" s="254"/>
      <c r="Q72" s="254"/>
      <c r="R72" s="255"/>
      <c r="S72" s="256"/>
      <c r="T72" s="620"/>
      <c r="U72" s="619"/>
      <c r="V72" s="619"/>
      <c r="W72" s="619"/>
      <c r="X72" s="619"/>
      <c r="Y72" s="619"/>
      <c r="Z72" s="619"/>
      <c r="AA72" s="619"/>
      <c r="AB72" s="619"/>
      <c r="AC72" s="619"/>
      <c r="AD72" s="619"/>
      <c r="AE72" s="621"/>
      <c r="AF72" s="579"/>
    </row>
    <row r="73" spans="1:32" ht="0.2" hidden="1" customHeight="1" x14ac:dyDescent="0.2">
      <c r="D73" s="257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8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8"/>
      <c r="R73" s="259" t="str">
        <f ca="1">L71&amp;"$"</f>
        <v>1$</v>
      </c>
      <c r="S73" s="260"/>
      <c r="T73" s="261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7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7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7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7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7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7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7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7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7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7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2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8">
        <f ca="1">OFFSET(A74,-3,0)+1</f>
        <v>21</v>
      </c>
      <c r="B74" s="238">
        <f ca="1">IF($Q74&lt;&gt;2,0,IF($R74=0,1,IF(E75&gt;0,OFFSET(QCI!$M$13,SUBSTITUTE(E75,".",""),0),OFFSET(ORÇAMENTO!$AA$15,CRONO!$E74,0))/$R74))</f>
        <v>0</v>
      </c>
      <c r="C74" s="238">
        <f ca="1">IF($Q74&lt;&gt;2,0,IF($R74=0,1,IF(E75&gt;0,OFFSET(QCI!$N$13,SUBSTITUTE(E75,".",""),0),OFFSET(ORÇAMENTO!$AB$15,CRONO!$E74,0))/$R74))</f>
        <v>0</v>
      </c>
      <c r="D74" s="241" t="e">
        <f ca="1">IF(AND($Q74=2,ACOMPANHAMENTO="BM"),D75,D76/$R74)</f>
        <v>#VALUE!</v>
      </c>
      <c r="E74" s="238" t="e">
        <f ca="1">IF(A74&lt;=ORÇAMENTO.MáximoListaCrono,MATCH(A74,ORÇAMENTO.ListaCrono,0),NA())</f>
        <v>#N/A</v>
      </c>
      <c r="F74" s="238" t="str">
        <f ca="1">IF(AND($E75&lt;&gt;-1,$R74&gt;0),"F","")</f>
        <v/>
      </c>
      <c r="G74" s="242" t="str">
        <f ca="1">IF(OR(R74=0,R74=""),"Linha",IF(AND(OR(ACOMPANHAMENTO="PLE",$Q74&lt;&gt;2),$E75=0),"Linha",1-SUM(T74:AF74)))</f>
        <v>Linha</v>
      </c>
      <c r="H74" s="243" t="str">
        <f ca="1">IF($E75=0,OFFSET(ORÇAMENTO!O$15,$E74,0),IF($E75&lt;&gt;-1,OFFSET(QCI!$D$13,$E75,0),""))</f>
        <v/>
      </c>
      <c r="I74" s="244" t="str">
        <f ca="1">IF($E75=0,OFFSET(ORÇAMENTO!R$15,$E74,0),IF($E75&lt;&gt;-1,OFFSET(QCI!$G$13,$E75,0),""))</f>
        <v/>
      </c>
      <c r="J74" s="244"/>
      <c r="K74" s="244"/>
      <c r="L74" s="245">
        <f ca="1">IF($E75=0,OFFSET(ORÇAMENTO!C$15,$E74,0),1)</f>
        <v>1</v>
      </c>
      <c r="M74" s="246">
        <f ca="1">IF($E75=-1,0,IF(M$13&lt;=$L74,IF(ISERROR(MATCH(M$13,OFFSET($L74,1,0,ROW($L$164)-ROW($L74)-1),0)),ROW($L$164)-ROW($L74)-1,MATCH(M$13,OFFSET($L74,1,0,ROW($L$164)-ROW($L74)-1),0)-1),0))</f>
        <v>0</v>
      </c>
      <c r="N74" s="246">
        <f ca="1">IF($E75=-1,0,IF(N$13&lt;=$L74,IF(ISERROR(MATCH(N$13,OFFSET($L74,1,0,ROW($L$164)-ROW($L74)-1),0)),ROW($L$164)-ROW($L74)-1,MATCH(N$13,OFFSET($L74,1,0,ROW($L$164)-ROW($L74)-1),0)-1),0))</f>
        <v>0</v>
      </c>
      <c r="O74" s="246">
        <f ca="1">IF($E75=-1,0,IF(O$13&lt;=$L74,IF(ISERROR(MATCH(O$13,OFFSET($L74,1,0,ROW($L$164)-ROW($L74)-1),0)),ROW($L$164)-ROW($L74)-1,MATCH(O$13,OFFSET($L74,1,0,ROW($L$164)-ROW($L74)-1),0)-1),0))</f>
        <v>0</v>
      </c>
      <c r="P74" s="246">
        <f ca="1">IF($E75=-1,0,IF(P$13&lt;=$L74,IF(ISERROR(MATCH(P$13,OFFSET($L74,1,0,ROW($L$164)-ROW($L74)-1),0)),ROW($L$164)-ROW($L74)-1,MATCH(P$13,OFFSET($L74,1,0,ROW($L$164)-ROW($L74)-1),0)-1),0))</f>
        <v>0</v>
      </c>
      <c r="Q74" s="246">
        <f ca="1">MIN(OFFSET(L74,0,1,,L74))</f>
        <v>0</v>
      </c>
      <c r="R74" s="247" t="str">
        <f ca="1">IF($E75=0,OFFSET(ORÇAMENTO!X$15,$E74,0),IF($E75&lt;&gt;-1,OFFSET(QCI!$O$13,$E75,0),""))</f>
        <v/>
      </c>
      <c r="S74" s="248" t="s">
        <v>269</v>
      </c>
      <c r="T74" s="249" t="e">
        <f t="shared" ref="T74:AE74" ca="1" si="23">IF(AND($Q74=2,ACOMPANHAMENTO="BM"),T75,T76/$R74)</f>
        <v>#VALUE!</v>
      </c>
      <c r="U74" s="241" t="e">
        <f t="shared" ca="1" si="23"/>
        <v>#VALUE!</v>
      </c>
      <c r="V74" s="241" t="e">
        <f t="shared" ca="1" si="23"/>
        <v>#VALUE!</v>
      </c>
      <c r="W74" s="241" t="e">
        <f t="shared" ca="1" si="23"/>
        <v>#VALUE!</v>
      </c>
      <c r="X74" s="241" t="e">
        <f t="shared" ca="1" si="23"/>
        <v>#VALUE!</v>
      </c>
      <c r="Y74" s="241" t="e">
        <f t="shared" ca="1" si="23"/>
        <v>#VALUE!</v>
      </c>
      <c r="Z74" s="241" t="e">
        <f t="shared" ca="1" si="23"/>
        <v>#VALUE!</v>
      </c>
      <c r="AA74" s="241" t="e">
        <f t="shared" ca="1" si="23"/>
        <v>#VALUE!</v>
      </c>
      <c r="AB74" s="241" t="e">
        <f t="shared" ca="1" si="23"/>
        <v>#VALUE!</v>
      </c>
      <c r="AC74" s="241" t="e">
        <f t="shared" ca="1" si="23"/>
        <v>#VALUE!</v>
      </c>
      <c r="AD74" s="241" t="e">
        <f t="shared" ca="1" si="23"/>
        <v>#VALUE!</v>
      </c>
      <c r="AE74" s="250" t="e">
        <f t="shared" ca="1" si="23"/>
        <v>#VALUE!</v>
      </c>
    </row>
    <row r="75" spans="1:32" ht="12.75" hidden="1" customHeight="1" x14ac:dyDescent="0.2">
      <c r="D75" s="619"/>
      <c r="E75" s="238">
        <f ca="1">IF(ISERROR(E74),IF(1+COUNTIF($L$13:OFFSET(L74,-1,0),1)&lt;=MAX(QCI!$D$13:$D$24),1+COUNTIF($L$13:OFFSET(L74,-1,0),1),-1),0)</f>
        <v>-1</v>
      </c>
      <c r="F75" s="238" t="str">
        <f ca="1">IF(AND($E75&lt;&gt;-1,$R74&gt;0),"F","")</f>
        <v/>
      </c>
      <c r="G75" s="251" t="str">
        <f ca="1">IF(OR(R74=0,R74=""),"vazia",IF(AND(OR(ACOMPANHAMENTO="PLE",$Q74&lt;&gt;2),$E75=0),"calculada","--&gt;"))</f>
        <v>vazia</v>
      </c>
      <c r="H75" s="252"/>
      <c r="I75" s="253" t="str">
        <f ca="1">IF(AND(G74&lt;&gt;0,ISNUMBER(G74)),"PREENCHA ESTA LINHA --&gt;","")</f>
        <v/>
      </c>
      <c r="J75" s="253"/>
      <c r="K75" s="253"/>
      <c r="L75" s="254"/>
      <c r="M75" s="254"/>
      <c r="N75" s="254"/>
      <c r="O75" s="254"/>
      <c r="P75" s="254"/>
      <c r="Q75" s="254"/>
      <c r="R75" s="255"/>
      <c r="S75" s="256"/>
      <c r="T75" s="620"/>
      <c r="U75" s="619"/>
      <c r="V75" s="619"/>
      <c r="W75" s="619"/>
      <c r="X75" s="619"/>
      <c r="Y75" s="619"/>
      <c r="Z75" s="619"/>
      <c r="AA75" s="619"/>
      <c r="AB75" s="619"/>
      <c r="AC75" s="619"/>
      <c r="AD75" s="619"/>
      <c r="AE75" s="621"/>
      <c r="AF75" s="579"/>
    </row>
    <row r="76" spans="1:32" ht="0.2" hidden="1" customHeight="1" x14ac:dyDescent="0.2">
      <c r="D76" s="257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8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8"/>
      <c r="R76" s="259" t="str">
        <f ca="1">L74&amp;"$"</f>
        <v>1$</v>
      </c>
      <c r="S76" s="260"/>
      <c r="T76" s="261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7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7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7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7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7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7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7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7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7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7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2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8">
        <f ca="1">OFFSET(A77,-3,0)+1</f>
        <v>22</v>
      </c>
      <c r="B77" s="238">
        <f ca="1">IF($Q77&lt;&gt;2,0,IF($R77=0,1,IF(E78&gt;0,OFFSET(QCI!$M$13,SUBSTITUTE(E78,".",""),0),OFFSET(ORÇAMENTO!$AA$15,CRONO!$E77,0))/$R77))</f>
        <v>0</v>
      </c>
      <c r="C77" s="238">
        <f ca="1">IF($Q77&lt;&gt;2,0,IF($R77=0,1,IF(E78&gt;0,OFFSET(QCI!$N$13,SUBSTITUTE(E78,".",""),0),OFFSET(ORÇAMENTO!$AB$15,CRONO!$E77,0))/$R77))</f>
        <v>0</v>
      </c>
      <c r="D77" s="241" t="e">
        <f ca="1">IF(AND($Q77=2,ACOMPANHAMENTO="BM"),D78,D79/$R77)</f>
        <v>#VALUE!</v>
      </c>
      <c r="E77" s="238" t="e">
        <f ca="1">IF(A77&lt;=ORÇAMENTO.MáximoListaCrono,MATCH(A77,ORÇAMENTO.ListaCrono,0),NA())</f>
        <v>#N/A</v>
      </c>
      <c r="F77" s="238" t="str">
        <f ca="1">IF(AND($E78&lt;&gt;-1,$R77&gt;0),"F","")</f>
        <v/>
      </c>
      <c r="G77" s="242" t="str">
        <f ca="1">IF(OR(R77=0,R77=""),"Linha",IF(AND(OR(ACOMPANHAMENTO="PLE",$Q77&lt;&gt;2),$E78=0),"Linha",1-SUM(T77:AF77)))</f>
        <v>Linha</v>
      </c>
      <c r="H77" s="243" t="str">
        <f ca="1">IF($E78=0,OFFSET(ORÇAMENTO!O$15,$E77,0),IF($E78&lt;&gt;-1,OFFSET(QCI!$D$13,$E78,0),""))</f>
        <v/>
      </c>
      <c r="I77" s="244" t="str">
        <f ca="1">IF($E78=0,OFFSET(ORÇAMENTO!R$15,$E77,0),IF($E78&lt;&gt;-1,OFFSET(QCI!$G$13,$E78,0),""))</f>
        <v/>
      </c>
      <c r="J77" s="244"/>
      <c r="K77" s="244"/>
      <c r="L77" s="245">
        <f ca="1">IF($E78=0,OFFSET(ORÇAMENTO!C$15,$E77,0),1)</f>
        <v>1</v>
      </c>
      <c r="M77" s="246">
        <f ca="1">IF($E78=-1,0,IF(M$13&lt;=$L77,IF(ISERROR(MATCH(M$13,OFFSET($L77,1,0,ROW($L$164)-ROW($L77)-1),0)),ROW($L$164)-ROW($L77)-1,MATCH(M$13,OFFSET($L77,1,0,ROW($L$164)-ROW($L77)-1),0)-1),0))</f>
        <v>0</v>
      </c>
      <c r="N77" s="246">
        <f ca="1">IF($E78=-1,0,IF(N$13&lt;=$L77,IF(ISERROR(MATCH(N$13,OFFSET($L77,1,0,ROW($L$164)-ROW($L77)-1),0)),ROW($L$164)-ROW($L77)-1,MATCH(N$13,OFFSET($L77,1,0,ROW($L$164)-ROW($L77)-1),0)-1),0))</f>
        <v>0</v>
      </c>
      <c r="O77" s="246">
        <f ca="1">IF($E78=-1,0,IF(O$13&lt;=$L77,IF(ISERROR(MATCH(O$13,OFFSET($L77,1,0,ROW($L$164)-ROW($L77)-1),0)),ROW($L$164)-ROW($L77)-1,MATCH(O$13,OFFSET($L77,1,0,ROW($L$164)-ROW($L77)-1),0)-1),0))</f>
        <v>0</v>
      </c>
      <c r="P77" s="246">
        <f ca="1">IF($E78=-1,0,IF(P$13&lt;=$L77,IF(ISERROR(MATCH(P$13,OFFSET($L77,1,0,ROW($L$164)-ROW($L77)-1),0)),ROW($L$164)-ROW($L77)-1,MATCH(P$13,OFFSET($L77,1,0,ROW($L$164)-ROW($L77)-1),0)-1),0))</f>
        <v>0</v>
      </c>
      <c r="Q77" s="246">
        <f ca="1">MIN(OFFSET(L77,0,1,,L77))</f>
        <v>0</v>
      </c>
      <c r="R77" s="247" t="str">
        <f ca="1">IF($E78=0,OFFSET(ORÇAMENTO!X$15,$E77,0),IF($E78&lt;&gt;-1,OFFSET(QCI!$O$13,$E78,0),""))</f>
        <v/>
      </c>
      <c r="S77" s="248" t="s">
        <v>269</v>
      </c>
      <c r="T77" s="249" t="e">
        <f t="shared" ref="T77:AE77" ca="1" si="24">IF(AND($Q77=2,ACOMPANHAMENTO="BM"),T78,T79/$R77)</f>
        <v>#VALUE!</v>
      </c>
      <c r="U77" s="241" t="e">
        <f t="shared" ca="1" si="24"/>
        <v>#VALUE!</v>
      </c>
      <c r="V77" s="241" t="e">
        <f t="shared" ca="1" si="24"/>
        <v>#VALUE!</v>
      </c>
      <c r="W77" s="241" t="e">
        <f t="shared" ca="1" si="24"/>
        <v>#VALUE!</v>
      </c>
      <c r="X77" s="241" t="e">
        <f t="shared" ca="1" si="24"/>
        <v>#VALUE!</v>
      </c>
      <c r="Y77" s="241" t="e">
        <f t="shared" ca="1" si="24"/>
        <v>#VALUE!</v>
      </c>
      <c r="Z77" s="241" t="e">
        <f t="shared" ca="1" si="24"/>
        <v>#VALUE!</v>
      </c>
      <c r="AA77" s="241" t="e">
        <f t="shared" ca="1" si="24"/>
        <v>#VALUE!</v>
      </c>
      <c r="AB77" s="241" t="e">
        <f t="shared" ca="1" si="24"/>
        <v>#VALUE!</v>
      </c>
      <c r="AC77" s="241" t="e">
        <f t="shared" ca="1" si="24"/>
        <v>#VALUE!</v>
      </c>
      <c r="AD77" s="241" t="e">
        <f t="shared" ca="1" si="24"/>
        <v>#VALUE!</v>
      </c>
      <c r="AE77" s="250" t="e">
        <f t="shared" ca="1" si="24"/>
        <v>#VALUE!</v>
      </c>
    </row>
    <row r="78" spans="1:32" ht="12.75" hidden="1" customHeight="1" x14ac:dyDescent="0.2">
      <c r="D78" s="619"/>
      <c r="E78" s="238">
        <f ca="1">IF(ISERROR(E77),IF(1+COUNTIF($L$13:OFFSET(L77,-1,0),1)&lt;=MAX(QCI!$D$13:$D$24),1+COUNTIF($L$13:OFFSET(L77,-1,0),1),-1),0)</f>
        <v>-1</v>
      </c>
      <c r="F78" s="238" t="str">
        <f ca="1">IF(AND($E78&lt;&gt;-1,$R77&gt;0),"F","")</f>
        <v/>
      </c>
      <c r="G78" s="251" t="str">
        <f ca="1">IF(OR(R77=0,R77=""),"vazia",IF(AND(OR(ACOMPANHAMENTO="PLE",$Q77&lt;&gt;2),$E78=0),"calculada","--&gt;"))</f>
        <v>vazia</v>
      </c>
      <c r="H78" s="252"/>
      <c r="I78" s="253" t="str">
        <f ca="1">IF(AND(G77&lt;&gt;0,ISNUMBER(G77)),"PREENCHA ESTA LINHA --&gt;","")</f>
        <v/>
      </c>
      <c r="J78" s="253"/>
      <c r="K78" s="253"/>
      <c r="L78" s="254"/>
      <c r="M78" s="254"/>
      <c r="N78" s="254"/>
      <c r="O78" s="254"/>
      <c r="P78" s="254"/>
      <c r="Q78" s="254"/>
      <c r="R78" s="255"/>
      <c r="S78" s="256"/>
      <c r="T78" s="620"/>
      <c r="U78" s="619"/>
      <c r="V78" s="619"/>
      <c r="W78" s="619"/>
      <c r="X78" s="619"/>
      <c r="Y78" s="619"/>
      <c r="Z78" s="619"/>
      <c r="AA78" s="619"/>
      <c r="AB78" s="619"/>
      <c r="AC78" s="619"/>
      <c r="AD78" s="619"/>
      <c r="AE78" s="621"/>
      <c r="AF78" s="579"/>
    </row>
    <row r="79" spans="1:32" ht="0.2" hidden="1" customHeight="1" x14ac:dyDescent="0.2">
      <c r="D79" s="257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8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8"/>
      <c r="R79" s="259" t="str">
        <f ca="1">L77&amp;"$"</f>
        <v>1$</v>
      </c>
      <c r="S79" s="260"/>
      <c r="T79" s="261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7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7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7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7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7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7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7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7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7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7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2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8">
        <f ca="1">OFFSET(A80,-3,0)+1</f>
        <v>23</v>
      </c>
      <c r="B80" s="238">
        <f ca="1">IF($Q80&lt;&gt;2,0,IF($R80=0,1,IF(E81&gt;0,OFFSET(QCI!$M$13,SUBSTITUTE(E81,".",""),0),OFFSET(ORÇAMENTO!$AA$15,CRONO!$E80,0))/$R80))</f>
        <v>0</v>
      </c>
      <c r="C80" s="238">
        <f ca="1">IF($Q80&lt;&gt;2,0,IF($R80=0,1,IF(E81&gt;0,OFFSET(QCI!$N$13,SUBSTITUTE(E81,".",""),0),OFFSET(ORÇAMENTO!$AB$15,CRONO!$E80,0))/$R80))</f>
        <v>0</v>
      </c>
      <c r="D80" s="241" t="e">
        <f ca="1">IF(AND($Q80=2,ACOMPANHAMENTO="BM"),D81,D82/$R80)</f>
        <v>#VALUE!</v>
      </c>
      <c r="E80" s="238" t="e">
        <f ca="1">IF(A80&lt;=ORÇAMENTO.MáximoListaCrono,MATCH(A80,ORÇAMENTO.ListaCrono,0),NA())</f>
        <v>#N/A</v>
      </c>
      <c r="F80" s="238" t="str">
        <f ca="1">IF(AND($E81&lt;&gt;-1,$R80&gt;0),"F","")</f>
        <v/>
      </c>
      <c r="G80" s="242" t="str">
        <f ca="1">IF(OR(R80=0,R80=""),"Linha",IF(AND(OR(ACOMPANHAMENTO="PLE",$Q80&lt;&gt;2),$E81=0),"Linha",1-SUM(T80:AF80)))</f>
        <v>Linha</v>
      </c>
      <c r="H80" s="243" t="str">
        <f ca="1">IF($E81=0,OFFSET(ORÇAMENTO!O$15,$E80,0),IF($E81&lt;&gt;-1,OFFSET(QCI!$D$13,$E81,0),""))</f>
        <v/>
      </c>
      <c r="I80" s="244" t="str">
        <f ca="1">IF($E81=0,OFFSET(ORÇAMENTO!R$15,$E80,0),IF($E81&lt;&gt;-1,OFFSET(QCI!$G$13,$E81,0),""))</f>
        <v/>
      </c>
      <c r="J80" s="244"/>
      <c r="K80" s="244"/>
      <c r="L80" s="245">
        <f ca="1">IF($E81=0,OFFSET(ORÇAMENTO!C$15,$E80,0),1)</f>
        <v>1</v>
      </c>
      <c r="M80" s="246">
        <f ca="1">IF($E81=-1,0,IF(M$13&lt;=$L80,IF(ISERROR(MATCH(M$13,OFFSET($L80,1,0,ROW($L$164)-ROW($L80)-1),0)),ROW($L$164)-ROW($L80)-1,MATCH(M$13,OFFSET($L80,1,0,ROW($L$164)-ROW($L80)-1),0)-1),0))</f>
        <v>0</v>
      </c>
      <c r="N80" s="246">
        <f ca="1">IF($E81=-1,0,IF(N$13&lt;=$L80,IF(ISERROR(MATCH(N$13,OFFSET($L80,1,0,ROW($L$164)-ROW($L80)-1),0)),ROW($L$164)-ROW($L80)-1,MATCH(N$13,OFFSET($L80,1,0,ROW($L$164)-ROW($L80)-1),0)-1),0))</f>
        <v>0</v>
      </c>
      <c r="O80" s="246">
        <f ca="1">IF($E81=-1,0,IF(O$13&lt;=$L80,IF(ISERROR(MATCH(O$13,OFFSET($L80,1,0,ROW($L$164)-ROW($L80)-1),0)),ROW($L$164)-ROW($L80)-1,MATCH(O$13,OFFSET($L80,1,0,ROW($L$164)-ROW($L80)-1),0)-1),0))</f>
        <v>0</v>
      </c>
      <c r="P80" s="246">
        <f ca="1">IF($E81=-1,0,IF(P$13&lt;=$L80,IF(ISERROR(MATCH(P$13,OFFSET($L80,1,0,ROW($L$164)-ROW($L80)-1),0)),ROW($L$164)-ROW($L80)-1,MATCH(P$13,OFFSET($L80,1,0,ROW($L$164)-ROW($L80)-1),0)-1),0))</f>
        <v>0</v>
      </c>
      <c r="Q80" s="246">
        <f ca="1">MIN(OFFSET(L80,0,1,,L80))</f>
        <v>0</v>
      </c>
      <c r="R80" s="247" t="str">
        <f ca="1">IF($E81=0,OFFSET(ORÇAMENTO!X$15,$E80,0),IF($E81&lt;&gt;-1,OFFSET(QCI!$O$13,$E81,0),""))</f>
        <v/>
      </c>
      <c r="S80" s="248" t="s">
        <v>269</v>
      </c>
      <c r="T80" s="249" t="e">
        <f t="shared" ref="T80:AE80" ca="1" si="25">IF(AND($Q80=2,ACOMPANHAMENTO="BM"),T81,T82/$R80)</f>
        <v>#VALUE!</v>
      </c>
      <c r="U80" s="241" t="e">
        <f t="shared" ca="1" si="25"/>
        <v>#VALUE!</v>
      </c>
      <c r="V80" s="241" t="e">
        <f t="shared" ca="1" si="25"/>
        <v>#VALUE!</v>
      </c>
      <c r="W80" s="241" t="e">
        <f t="shared" ca="1" si="25"/>
        <v>#VALUE!</v>
      </c>
      <c r="X80" s="241" t="e">
        <f t="shared" ca="1" si="25"/>
        <v>#VALUE!</v>
      </c>
      <c r="Y80" s="241" t="e">
        <f t="shared" ca="1" si="25"/>
        <v>#VALUE!</v>
      </c>
      <c r="Z80" s="241" t="e">
        <f t="shared" ca="1" si="25"/>
        <v>#VALUE!</v>
      </c>
      <c r="AA80" s="241" t="e">
        <f t="shared" ca="1" si="25"/>
        <v>#VALUE!</v>
      </c>
      <c r="AB80" s="241" t="e">
        <f t="shared" ca="1" si="25"/>
        <v>#VALUE!</v>
      </c>
      <c r="AC80" s="241" t="e">
        <f t="shared" ca="1" si="25"/>
        <v>#VALUE!</v>
      </c>
      <c r="AD80" s="241" t="e">
        <f t="shared" ca="1" si="25"/>
        <v>#VALUE!</v>
      </c>
      <c r="AE80" s="250" t="e">
        <f t="shared" ca="1" si="25"/>
        <v>#VALUE!</v>
      </c>
    </row>
    <row r="81" spans="1:32" ht="12.75" hidden="1" customHeight="1" x14ac:dyDescent="0.2">
      <c r="D81" s="619"/>
      <c r="E81" s="238">
        <f ca="1">IF(ISERROR(E80),IF(1+COUNTIF($L$13:OFFSET(L80,-1,0),1)&lt;=MAX(QCI!$D$13:$D$24),1+COUNTIF($L$13:OFFSET(L80,-1,0),1),-1),0)</f>
        <v>-1</v>
      </c>
      <c r="F81" s="238" t="str">
        <f ca="1">IF(AND($E81&lt;&gt;-1,$R80&gt;0),"F","")</f>
        <v/>
      </c>
      <c r="G81" s="251" t="str">
        <f ca="1">IF(OR(R80=0,R80=""),"vazia",IF(AND(OR(ACOMPANHAMENTO="PLE",$Q80&lt;&gt;2),$E81=0),"calculada","--&gt;"))</f>
        <v>vazia</v>
      </c>
      <c r="H81" s="252"/>
      <c r="I81" s="253" t="str">
        <f ca="1">IF(AND(G80&lt;&gt;0,ISNUMBER(G80)),"PREENCHA ESTA LINHA --&gt;","")</f>
        <v/>
      </c>
      <c r="J81" s="253"/>
      <c r="K81" s="253"/>
      <c r="L81" s="254"/>
      <c r="M81" s="254"/>
      <c r="N81" s="254"/>
      <c r="O81" s="254"/>
      <c r="P81" s="254"/>
      <c r="Q81" s="254"/>
      <c r="R81" s="255"/>
      <c r="S81" s="256"/>
      <c r="T81" s="620"/>
      <c r="U81" s="619"/>
      <c r="V81" s="619"/>
      <c r="W81" s="619"/>
      <c r="X81" s="619"/>
      <c r="Y81" s="619"/>
      <c r="Z81" s="619"/>
      <c r="AA81" s="619"/>
      <c r="AB81" s="619"/>
      <c r="AC81" s="619"/>
      <c r="AD81" s="619"/>
      <c r="AE81" s="621"/>
      <c r="AF81" s="579"/>
    </row>
    <row r="82" spans="1:32" ht="0.2" hidden="1" customHeight="1" x14ac:dyDescent="0.2">
      <c r="D82" s="257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8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8"/>
      <c r="R82" s="259" t="str">
        <f ca="1">L80&amp;"$"</f>
        <v>1$</v>
      </c>
      <c r="S82" s="260"/>
      <c r="T82" s="261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7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7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7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7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7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7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7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7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7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7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2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8">
        <f ca="1">OFFSET(A83,-3,0)+1</f>
        <v>24</v>
      </c>
      <c r="B83" s="238">
        <f ca="1">IF($Q83&lt;&gt;2,0,IF($R83=0,1,IF(E84&gt;0,OFFSET(QCI!$M$13,SUBSTITUTE(E84,".",""),0),OFFSET(ORÇAMENTO!$AA$15,CRONO!$E83,0))/$R83))</f>
        <v>0</v>
      </c>
      <c r="C83" s="238">
        <f ca="1">IF($Q83&lt;&gt;2,0,IF($R83=0,1,IF(E84&gt;0,OFFSET(QCI!$N$13,SUBSTITUTE(E84,".",""),0),OFFSET(ORÇAMENTO!$AB$15,CRONO!$E83,0))/$R83))</f>
        <v>0</v>
      </c>
      <c r="D83" s="241" t="e">
        <f ca="1">IF(AND($Q83=2,ACOMPANHAMENTO="BM"),D84,D85/$R83)</f>
        <v>#VALUE!</v>
      </c>
      <c r="E83" s="238" t="e">
        <f ca="1">IF(A83&lt;=ORÇAMENTO.MáximoListaCrono,MATCH(A83,ORÇAMENTO.ListaCrono,0),NA())</f>
        <v>#N/A</v>
      </c>
      <c r="F83" s="238" t="str">
        <f ca="1">IF(AND($E84&lt;&gt;-1,$R83&gt;0),"F","")</f>
        <v/>
      </c>
      <c r="G83" s="242" t="str">
        <f ca="1">IF(OR(R83=0,R83=""),"Linha",IF(AND(OR(ACOMPANHAMENTO="PLE",$Q83&lt;&gt;2),$E84=0),"Linha",1-SUM(T83:AF83)))</f>
        <v>Linha</v>
      </c>
      <c r="H83" s="243" t="str">
        <f ca="1">IF($E84=0,OFFSET(ORÇAMENTO!O$15,$E83,0),IF($E84&lt;&gt;-1,OFFSET(QCI!$D$13,$E84,0),""))</f>
        <v/>
      </c>
      <c r="I83" s="244" t="str">
        <f ca="1">IF($E84=0,OFFSET(ORÇAMENTO!R$15,$E83,0),IF($E84&lt;&gt;-1,OFFSET(QCI!$G$13,$E84,0),""))</f>
        <v/>
      </c>
      <c r="J83" s="244"/>
      <c r="K83" s="244"/>
      <c r="L83" s="245">
        <f ca="1">IF($E84=0,OFFSET(ORÇAMENTO!C$15,$E83,0),1)</f>
        <v>1</v>
      </c>
      <c r="M83" s="246">
        <f ca="1">IF($E84=-1,0,IF(M$13&lt;=$L83,IF(ISERROR(MATCH(M$13,OFFSET($L83,1,0,ROW($L$164)-ROW($L83)-1),0)),ROW($L$164)-ROW($L83)-1,MATCH(M$13,OFFSET($L83,1,0,ROW($L$164)-ROW($L83)-1),0)-1),0))</f>
        <v>0</v>
      </c>
      <c r="N83" s="246">
        <f ca="1">IF($E84=-1,0,IF(N$13&lt;=$L83,IF(ISERROR(MATCH(N$13,OFFSET($L83,1,0,ROW($L$164)-ROW($L83)-1),0)),ROW($L$164)-ROW($L83)-1,MATCH(N$13,OFFSET($L83,1,0,ROW($L$164)-ROW($L83)-1),0)-1),0))</f>
        <v>0</v>
      </c>
      <c r="O83" s="246">
        <f ca="1">IF($E84=-1,0,IF(O$13&lt;=$L83,IF(ISERROR(MATCH(O$13,OFFSET($L83,1,0,ROW($L$164)-ROW($L83)-1),0)),ROW($L$164)-ROW($L83)-1,MATCH(O$13,OFFSET($L83,1,0,ROW($L$164)-ROW($L83)-1),0)-1),0))</f>
        <v>0</v>
      </c>
      <c r="P83" s="246">
        <f ca="1">IF($E84=-1,0,IF(P$13&lt;=$L83,IF(ISERROR(MATCH(P$13,OFFSET($L83,1,0,ROW($L$164)-ROW($L83)-1),0)),ROW($L$164)-ROW($L83)-1,MATCH(P$13,OFFSET($L83,1,0,ROW($L$164)-ROW($L83)-1),0)-1),0))</f>
        <v>0</v>
      </c>
      <c r="Q83" s="246">
        <f ca="1">MIN(OFFSET(L83,0,1,,L83))</f>
        <v>0</v>
      </c>
      <c r="R83" s="247" t="str">
        <f ca="1">IF($E84=0,OFFSET(ORÇAMENTO!X$15,$E83,0),IF($E84&lt;&gt;-1,OFFSET(QCI!$O$13,$E84,0),""))</f>
        <v/>
      </c>
      <c r="S83" s="248" t="s">
        <v>269</v>
      </c>
      <c r="T83" s="249" t="e">
        <f t="shared" ref="T83:AE83" ca="1" si="26">IF(AND($Q83=2,ACOMPANHAMENTO="BM"),T84,T85/$R83)</f>
        <v>#VALUE!</v>
      </c>
      <c r="U83" s="241" t="e">
        <f t="shared" ca="1" si="26"/>
        <v>#VALUE!</v>
      </c>
      <c r="V83" s="241" t="e">
        <f t="shared" ca="1" si="26"/>
        <v>#VALUE!</v>
      </c>
      <c r="W83" s="241" t="e">
        <f t="shared" ca="1" si="26"/>
        <v>#VALUE!</v>
      </c>
      <c r="X83" s="241" t="e">
        <f t="shared" ca="1" si="26"/>
        <v>#VALUE!</v>
      </c>
      <c r="Y83" s="241" t="e">
        <f t="shared" ca="1" si="26"/>
        <v>#VALUE!</v>
      </c>
      <c r="Z83" s="241" t="e">
        <f t="shared" ca="1" si="26"/>
        <v>#VALUE!</v>
      </c>
      <c r="AA83" s="241" t="e">
        <f t="shared" ca="1" si="26"/>
        <v>#VALUE!</v>
      </c>
      <c r="AB83" s="241" t="e">
        <f t="shared" ca="1" si="26"/>
        <v>#VALUE!</v>
      </c>
      <c r="AC83" s="241" t="e">
        <f t="shared" ca="1" si="26"/>
        <v>#VALUE!</v>
      </c>
      <c r="AD83" s="241" t="e">
        <f t="shared" ca="1" si="26"/>
        <v>#VALUE!</v>
      </c>
      <c r="AE83" s="250" t="e">
        <f t="shared" ca="1" si="26"/>
        <v>#VALUE!</v>
      </c>
    </row>
    <row r="84" spans="1:32" ht="12.75" hidden="1" customHeight="1" x14ac:dyDescent="0.2">
      <c r="D84" s="619"/>
      <c r="E84" s="238">
        <f ca="1">IF(ISERROR(E83),IF(1+COUNTIF($L$13:OFFSET(L83,-1,0),1)&lt;=MAX(QCI!$D$13:$D$24),1+COUNTIF($L$13:OFFSET(L83,-1,0),1),-1),0)</f>
        <v>-1</v>
      </c>
      <c r="F84" s="238" t="str">
        <f ca="1">IF(AND($E84&lt;&gt;-1,$R83&gt;0),"F","")</f>
        <v/>
      </c>
      <c r="G84" s="251" t="str">
        <f ca="1">IF(OR(R83=0,R83=""),"vazia",IF(AND(OR(ACOMPANHAMENTO="PLE",$Q83&lt;&gt;2),$E84=0),"calculada","--&gt;"))</f>
        <v>vazia</v>
      </c>
      <c r="H84" s="252"/>
      <c r="I84" s="253" t="str">
        <f ca="1">IF(AND(G83&lt;&gt;0,ISNUMBER(G83)),"PREENCHA ESTA LINHA --&gt;","")</f>
        <v/>
      </c>
      <c r="J84" s="253"/>
      <c r="K84" s="253"/>
      <c r="L84" s="254"/>
      <c r="M84" s="254"/>
      <c r="N84" s="254"/>
      <c r="O84" s="254"/>
      <c r="P84" s="254"/>
      <c r="Q84" s="254"/>
      <c r="R84" s="255"/>
      <c r="S84" s="256"/>
      <c r="T84" s="620"/>
      <c r="U84" s="619"/>
      <c r="V84" s="619"/>
      <c r="W84" s="619"/>
      <c r="X84" s="619"/>
      <c r="Y84" s="619"/>
      <c r="Z84" s="619"/>
      <c r="AA84" s="619"/>
      <c r="AB84" s="619"/>
      <c r="AC84" s="619"/>
      <c r="AD84" s="619"/>
      <c r="AE84" s="621"/>
      <c r="AF84" s="579"/>
    </row>
    <row r="85" spans="1:32" ht="0.2" hidden="1" customHeight="1" x14ac:dyDescent="0.2">
      <c r="D85" s="257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8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8"/>
      <c r="R85" s="259" t="str">
        <f ca="1">L83&amp;"$"</f>
        <v>1$</v>
      </c>
      <c r="S85" s="260"/>
      <c r="T85" s="261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7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7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7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7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7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7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7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7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7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7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2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8">
        <f ca="1">OFFSET(A86,-3,0)+1</f>
        <v>25</v>
      </c>
      <c r="B86" s="238">
        <f ca="1">IF($Q86&lt;&gt;2,0,IF($R86=0,1,IF(E87&gt;0,OFFSET(QCI!$M$13,SUBSTITUTE(E87,".",""),0),OFFSET(ORÇAMENTO!$AA$15,CRONO!$E86,0))/$R86))</f>
        <v>0</v>
      </c>
      <c r="C86" s="238">
        <f ca="1">IF($Q86&lt;&gt;2,0,IF($R86=0,1,IF(E87&gt;0,OFFSET(QCI!$N$13,SUBSTITUTE(E87,".",""),0),OFFSET(ORÇAMENTO!$AB$15,CRONO!$E86,0))/$R86))</f>
        <v>0</v>
      </c>
      <c r="D86" s="241" t="e">
        <f ca="1">IF(AND($Q86=2,ACOMPANHAMENTO="BM"),D87,D88/$R86)</f>
        <v>#VALUE!</v>
      </c>
      <c r="E86" s="238" t="e">
        <f ca="1">IF(A86&lt;=ORÇAMENTO.MáximoListaCrono,MATCH(A86,ORÇAMENTO.ListaCrono,0),NA())</f>
        <v>#N/A</v>
      </c>
      <c r="F86" s="238" t="str">
        <f ca="1">IF(AND($E87&lt;&gt;-1,$R86&gt;0),"F","")</f>
        <v/>
      </c>
      <c r="G86" s="242" t="str">
        <f ca="1">IF(OR(R86=0,R86=""),"Linha",IF(AND(OR(ACOMPANHAMENTO="PLE",$Q86&lt;&gt;2),$E87=0),"Linha",1-SUM(T86:AF86)))</f>
        <v>Linha</v>
      </c>
      <c r="H86" s="243" t="str">
        <f ca="1">IF($E87=0,OFFSET(ORÇAMENTO!O$15,$E86,0),IF($E87&lt;&gt;-1,OFFSET(QCI!$D$13,$E87,0),""))</f>
        <v/>
      </c>
      <c r="I86" s="244" t="str">
        <f ca="1">IF($E87=0,OFFSET(ORÇAMENTO!R$15,$E86,0),IF($E87&lt;&gt;-1,OFFSET(QCI!$G$13,$E87,0),""))</f>
        <v/>
      </c>
      <c r="J86" s="244"/>
      <c r="K86" s="244"/>
      <c r="L86" s="245">
        <f ca="1">IF($E87=0,OFFSET(ORÇAMENTO!C$15,$E86,0),1)</f>
        <v>1</v>
      </c>
      <c r="M86" s="246">
        <f ca="1">IF($E87=-1,0,IF(M$13&lt;=$L86,IF(ISERROR(MATCH(M$13,OFFSET($L86,1,0,ROW($L$164)-ROW($L86)-1),0)),ROW($L$164)-ROW($L86)-1,MATCH(M$13,OFFSET($L86,1,0,ROW($L$164)-ROW($L86)-1),0)-1),0))</f>
        <v>0</v>
      </c>
      <c r="N86" s="246">
        <f ca="1">IF($E87=-1,0,IF(N$13&lt;=$L86,IF(ISERROR(MATCH(N$13,OFFSET($L86,1,0,ROW($L$164)-ROW($L86)-1),0)),ROW($L$164)-ROW($L86)-1,MATCH(N$13,OFFSET($L86,1,0,ROW($L$164)-ROW($L86)-1),0)-1),0))</f>
        <v>0</v>
      </c>
      <c r="O86" s="246">
        <f ca="1">IF($E87=-1,0,IF(O$13&lt;=$L86,IF(ISERROR(MATCH(O$13,OFFSET($L86,1,0,ROW($L$164)-ROW($L86)-1),0)),ROW($L$164)-ROW($L86)-1,MATCH(O$13,OFFSET($L86,1,0,ROW($L$164)-ROW($L86)-1),0)-1),0))</f>
        <v>0</v>
      </c>
      <c r="P86" s="246">
        <f ca="1">IF($E87=-1,0,IF(P$13&lt;=$L86,IF(ISERROR(MATCH(P$13,OFFSET($L86,1,0,ROW($L$164)-ROW($L86)-1),0)),ROW($L$164)-ROW($L86)-1,MATCH(P$13,OFFSET($L86,1,0,ROW($L$164)-ROW($L86)-1),0)-1),0))</f>
        <v>0</v>
      </c>
      <c r="Q86" s="246">
        <f ca="1">MIN(OFFSET(L86,0,1,,L86))</f>
        <v>0</v>
      </c>
      <c r="R86" s="247" t="str">
        <f ca="1">IF($E87=0,OFFSET(ORÇAMENTO!X$15,$E86,0),IF($E87&lt;&gt;-1,OFFSET(QCI!$O$13,$E87,0),""))</f>
        <v/>
      </c>
      <c r="S86" s="248" t="s">
        <v>269</v>
      </c>
      <c r="T86" s="249" t="e">
        <f t="shared" ref="T86:AE86" ca="1" si="27">IF(AND($Q86=2,ACOMPANHAMENTO="BM"),T87,T88/$R86)</f>
        <v>#VALUE!</v>
      </c>
      <c r="U86" s="241" t="e">
        <f t="shared" ca="1" si="27"/>
        <v>#VALUE!</v>
      </c>
      <c r="V86" s="241" t="e">
        <f t="shared" ca="1" si="27"/>
        <v>#VALUE!</v>
      </c>
      <c r="W86" s="241" t="e">
        <f t="shared" ca="1" si="27"/>
        <v>#VALUE!</v>
      </c>
      <c r="X86" s="241" t="e">
        <f t="shared" ca="1" si="27"/>
        <v>#VALUE!</v>
      </c>
      <c r="Y86" s="241" t="e">
        <f t="shared" ca="1" si="27"/>
        <v>#VALUE!</v>
      </c>
      <c r="Z86" s="241" t="e">
        <f t="shared" ca="1" si="27"/>
        <v>#VALUE!</v>
      </c>
      <c r="AA86" s="241" t="e">
        <f t="shared" ca="1" si="27"/>
        <v>#VALUE!</v>
      </c>
      <c r="AB86" s="241" t="e">
        <f t="shared" ca="1" si="27"/>
        <v>#VALUE!</v>
      </c>
      <c r="AC86" s="241" t="e">
        <f t="shared" ca="1" si="27"/>
        <v>#VALUE!</v>
      </c>
      <c r="AD86" s="241" t="e">
        <f t="shared" ca="1" si="27"/>
        <v>#VALUE!</v>
      </c>
      <c r="AE86" s="250" t="e">
        <f t="shared" ca="1" si="27"/>
        <v>#VALUE!</v>
      </c>
    </row>
    <row r="87" spans="1:32" ht="12.75" hidden="1" customHeight="1" x14ac:dyDescent="0.2">
      <c r="D87" s="619"/>
      <c r="E87" s="238">
        <f ca="1">IF(ISERROR(E86),IF(1+COUNTIF($L$13:OFFSET(L86,-1,0),1)&lt;=MAX(QCI!$D$13:$D$24),1+COUNTIF($L$13:OFFSET(L86,-1,0),1),-1),0)</f>
        <v>-1</v>
      </c>
      <c r="F87" s="238" t="str">
        <f ca="1">IF(AND($E87&lt;&gt;-1,$R86&gt;0),"F","")</f>
        <v/>
      </c>
      <c r="G87" s="251" t="str">
        <f ca="1">IF(OR(R86=0,R86=""),"vazia",IF(AND(OR(ACOMPANHAMENTO="PLE",$Q86&lt;&gt;2),$E87=0),"calculada","--&gt;"))</f>
        <v>vazia</v>
      </c>
      <c r="H87" s="252"/>
      <c r="I87" s="253" t="str">
        <f ca="1">IF(AND(G86&lt;&gt;0,ISNUMBER(G86)),"PREENCHA ESTA LINHA --&gt;","")</f>
        <v/>
      </c>
      <c r="J87" s="253"/>
      <c r="K87" s="253"/>
      <c r="L87" s="254"/>
      <c r="M87" s="254"/>
      <c r="N87" s="254"/>
      <c r="O87" s="254"/>
      <c r="P87" s="254"/>
      <c r="Q87" s="254"/>
      <c r="R87" s="255"/>
      <c r="S87" s="256"/>
      <c r="T87" s="620"/>
      <c r="U87" s="619"/>
      <c r="V87" s="619"/>
      <c r="W87" s="619"/>
      <c r="X87" s="619"/>
      <c r="Y87" s="619"/>
      <c r="Z87" s="619"/>
      <c r="AA87" s="619"/>
      <c r="AB87" s="619"/>
      <c r="AC87" s="619"/>
      <c r="AD87" s="619"/>
      <c r="AE87" s="621"/>
      <c r="AF87" s="579"/>
    </row>
    <row r="88" spans="1:32" ht="0.2" hidden="1" customHeight="1" x14ac:dyDescent="0.2">
      <c r="D88" s="257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8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8"/>
      <c r="R88" s="259" t="str">
        <f ca="1">L86&amp;"$"</f>
        <v>1$</v>
      </c>
      <c r="S88" s="260"/>
      <c r="T88" s="261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7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7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7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7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7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7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7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7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7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7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2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8">
        <f ca="1">OFFSET(A89,-3,0)+1</f>
        <v>26</v>
      </c>
      <c r="B89" s="238">
        <f ca="1">IF($Q89&lt;&gt;2,0,IF($R89=0,1,IF(E90&gt;0,OFFSET(QCI!$M$13,SUBSTITUTE(E90,".",""),0),OFFSET(ORÇAMENTO!$AA$15,CRONO!$E89,0))/$R89))</f>
        <v>0</v>
      </c>
      <c r="C89" s="238">
        <f ca="1">IF($Q89&lt;&gt;2,0,IF($R89=0,1,IF(E90&gt;0,OFFSET(QCI!$N$13,SUBSTITUTE(E90,".",""),0),OFFSET(ORÇAMENTO!$AB$15,CRONO!$E89,0))/$R89))</f>
        <v>0</v>
      </c>
      <c r="D89" s="241" t="e">
        <f ca="1">IF(AND($Q89=2,ACOMPANHAMENTO="BM"),D90,D91/$R89)</f>
        <v>#VALUE!</v>
      </c>
      <c r="E89" s="238" t="e">
        <f ca="1">IF(A89&lt;=ORÇAMENTO.MáximoListaCrono,MATCH(A89,ORÇAMENTO.ListaCrono,0),NA())</f>
        <v>#N/A</v>
      </c>
      <c r="F89" s="238" t="str">
        <f ca="1">IF(AND($E90&lt;&gt;-1,$R89&gt;0),"F","")</f>
        <v/>
      </c>
      <c r="G89" s="242" t="str">
        <f ca="1">IF(OR(R89=0,R89=""),"Linha",IF(AND(OR(ACOMPANHAMENTO="PLE",$Q89&lt;&gt;2),$E90=0),"Linha",1-SUM(T89:AF89)))</f>
        <v>Linha</v>
      </c>
      <c r="H89" s="243" t="str">
        <f ca="1">IF($E90=0,OFFSET(ORÇAMENTO!O$15,$E89,0),IF($E90&lt;&gt;-1,OFFSET(QCI!$D$13,$E90,0),""))</f>
        <v/>
      </c>
      <c r="I89" s="244" t="str">
        <f ca="1">IF($E90=0,OFFSET(ORÇAMENTO!R$15,$E89,0),IF($E90&lt;&gt;-1,OFFSET(QCI!$G$13,$E90,0),""))</f>
        <v/>
      </c>
      <c r="J89" s="244"/>
      <c r="K89" s="244"/>
      <c r="L89" s="245">
        <f ca="1">IF($E90=0,OFFSET(ORÇAMENTO!C$15,$E89,0),1)</f>
        <v>1</v>
      </c>
      <c r="M89" s="246">
        <f ca="1">IF($E90=-1,0,IF(M$13&lt;=$L89,IF(ISERROR(MATCH(M$13,OFFSET($L89,1,0,ROW($L$164)-ROW($L89)-1),0)),ROW($L$164)-ROW($L89)-1,MATCH(M$13,OFFSET($L89,1,0,ROW($L$164)-ROW($L89)-1),0)-1),0))</f>
        <v>0</v>
      </c>
      <c r="N89" s="246">
        <f ca="1">IF($E90=-1,0,IF(N$13&lt;=$L89,IF(ISERROR(MATCH(N$13,OFFSET($L89,1,0,ROW($L$164)-ROW($L89)-1),0)),ROW($L$164)-ROW($L89)-1,MATCH(N$13,OFFSET($L89,1,0,ROW($L$164)-ROW($L89)-1),0)-1),0))</f>
        <v>0</v>
      </c>
      <c r="O89" s="246">
        <f ca="1">IF($E90=-1,0,IF(O$13&lt;=$L89,IF(ISERROR(MATCH(O$13,OFFSET($L89,1,0,ROW($L$164)-ROW($L89)-1),0)),ROW($L$164)-ROW($L89)-1,MATCH(O$13,OFFSET($L89,1,0,ROW($L$164)-ROW($L89)-1),0)-1),0))</f>
        <v>0</v>
      </c>
      <c r="P89" s="246">
        <f ca="1">IF($E90=-1,0,IF(P$13&lt;=$L89,IF(ISERROR(MATCH(P$13,OFFSET($L89,1,0,ROW($L$164)-ROW($L89)-1),0)),ROW($L$164)-ROW($L89)-1,MATCH(P$13,OFFSET($L89,1,0,ROW($L$164)-ROW($L89)-1),0)-1),0))</f>
        <v>0</v>
      </c>
      <c r="Q89" s="246">
        <f ca="1">MIN(OFFSET(L89,0,1,,L89))</f>
        <v>0</v>
      </c>
      <c r="R89" s="247" t="str">
        <f ca="1">IF($E90=0,OFFSET(ORÇAMENTO!X$15,$E89,0),IF($E90&lt;&gt;-1,OFFSET(QCI!$O$13,$E90,0),""))</f>
        <v/>
      </c>
      <c r="S89" s="248" t="s">
        <v>269</v>
      </c>
      <c r="T89" s="249" t="e">
        <f t="shared" ref="T89:AE89" ca="1" si="28">IF(AND($Q89=2,ACOMPANHAMENTO="BM"),T90,T91/$R89)</f>
        <v>#VALUE!</v>
      </c>
      <c r="U89" s="241" t="e">
        <f t="shared" ca="1" si="28"/>
        <v>#VALUE!</v>
      </c>
      <c r="V89" s="241" t="e">
        <f t="shared" ca="1" si="28"/>
        <v>#VALUE!</v>
      </c>
      <c r="W89" s="241" t="e">
        <f t="shared" ca="1" si="28"/>
        <v>#VALUE!</v>
      </c>
      <c r="X89" s="241" t="e">
        <f t="shared" ca="1" si="28"/>
        <v>#VALUE!</v>
      </c>
      <c r="Y89" s="241" t="e">
        <f t="shared" ca="1" si="28"/>
        <v>#VALUE!</v>
      </c>
      <c r="Z89" s="241" t="e">
        <f t="shared" ca="1" si="28"/>
        <v>#VALUE!</v>
      </c>
      <c r="AA89" s="241" t="e">
        <f t="shared" ca="1" si="28"/>
        <v>#VALUE!</v>
      </c>
      <c r="AB89" s="241" t="e">
        <f t="shared" ca="1" si="28"/>
        <v>#VALUE!</v>
      </c>
      <c r="AC89" s="241" t="e">
        <f t="shared" ca="1" si="28"/>
        <v>#VALUE!</v>
      </c>
      <c r="AD89" s="241" t="e">
        <f t="shared" ca="1" si="28"/>
        <v>#VALUE!</v>
      </c>
      <c r="AE89" s="250" t="e">
        <f t="shared" ca="1" si="28"/>
        <v>#VALUE!</v>
      </c>
    </row>
    <row r="90" spans="1:32" ht="12.75" hidden="1" customHeight="1" x14ac:dyDescent="0.2">
      <c r="D90" s="619"/>
      <c r="E90" s="238">
        <f ca="1">IF(ISERROR(E89),IF(1+COUNTIF($L$13:OFFSET(L89,-1,0),1)&lt;=MAX(QCI!$D$13:$D$24),1+COUNTIF($L$13:OFFSET(L89,-1,0),1),-1),0)</f>
        <v>-1</v>
      </c>
      <c r="F90" s="238" t="str">
        <f ca="1">IF(AND($E90&lt;&gt;-1,$R89&gt;0),"F","")</f>
        <v/>
      </c>
      <c r="G90" s="251" t="str">
        <f ca="1">IF(OR(R89=0,R89=""),"vazia",IF(AND(OR(ACOMPANHAMENTO="PLE",$Q89&lt;&gt;2),$E90=0),"calculada","--&gt;"))</f>
        <v>vazia</v>
      </c>
      <c r="H90" s="252"/>
      <c r="I90" s="253" t="str">
        <f ca="1">IF(AND(G89&lt;&gt;0,ISNUMBER(G89)),"PREENCHA ESTA LINHA --&gt;","")</f>
        <v/>
      </c>
      <c r="J90" s="253"/>
      <c r="K90" s="253"/>
      <c r="L90" s="254"/>
      <c r="M90" s="254"/>
      <c r="N90" s="254"/>
      <c r="O90" s="254"/>
      <c r="P90" s="254"/>
      <c r="Q90" s="254"/>
      <c r="R90" s="255"/>
      <c r="S90" s="256"/>
      <c r="T90" s="620"/>
      <c r="U90" s="619"/>
      <c r="V90" s="619"/>
      <c r="W90" s="619"/>
      <c r="X90" s="619"/>
      <c r="Y90" s="619"/>
      <c r="Z90" s="619"/>
      <c r="AA90" s="619"/>
      <c r="AB90" s="619"/>
      <c r="AC90" s="619"/>
      <c r="AD90" s="619"/>
      <c r="AE90" s="621"/>
      <c r="AF90" s="579"/>
    </row>
    <row r="91" spans="1:32" ht="0.2" hidden="1" customHeight="1" x14ac:dyDescent="0.2">
      <c r="D91" s="257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8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8"/>
      <c r="R91" s="259" t="str">
        <f ca="1">L89&amp;"$"</f>
        <v>1$</v>
      </c>
      <c r="S91" s="260"/>
      <c r="T91" s="261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7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7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7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7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7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7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7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7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7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7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2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8">
        <f ca="1">OFFSET(A92,-3,0)+1</f>
        <v>27</v>
      </c>
      <c r="B92" s="238">
        <f ca="1">IF($Q92&lt;&gt;2,0,IF($R92=0,1,IF(E93&gt;0,OFFSET(QCI!$M$13,SUBSTITUTE(E93,".",""),0),OFFSET(ORÇAMENTO!$AA$15,CRONO!$E92,0))/$R92))</f>
        <v>0</v>
      </c>
      <c r="C92" s="238">
        <f ca="1">IF($Q92&lt;&gt;2,0,IF($R92=0,1,IF(E93&gt;0,OFFSET(QCI!$N$13,SUBSTITUTE(E93,".",""),0),OFFSET(ORÇAMENTO!$AB$15,CRONO!$E92,0))/$R92))</f>
        <v>0</v>
      </c>
      <c r="D92" s="241" t="e">
        <f ca="1">IF(AND($Q92=2,ACOMPANHAMENTO="BM"),D93,D94/$R92)</f>
        <v>#VALUE!</v>
      </c>
      <c r="E92" s="238" t="e">
        <f ca="1">IF(A92&lt;=ORÇAMENTO.MáximoListaCrono,MATCH(A92,ORÇAMENTO.ListaCrono,0),NA())</f>
        <v>#N/A</v>
      </c>
      <c r="F92" s="238" t="str">
        <f ca="1">IF(AND($E93&lt;&gt;-1,$R92&gt;0),"F","")</f>
        <v/>
      </c>
      <c r="G92" s="242" t="str">
        <f ca="1">IF(OR(R92=0,R92=""),"Linha",IF(AND(OR(ACOMPANHAMENTO="PLE",$Q92&lt;&gt;2),$E93=0),"Linha",1-SUM(T92:AF92)))</f>
        <v>Linha</v>
      </c>
      <c r="H92" s="243" t="str">
        <f ca="1">IF($E93=0,OFFSET(ORÇAMENTO!O$15,$E92,0),IF($E93&lt;&gt;-1,OFFSET(QCI!$D$13,$E93,0),""))</f>
        <v/>
      </c>
      <c r="I92" s="244" t="str">
        <f ca="1">IF($E93=0,OFFSET(ORÇAMENTO!R$15,$E92,0),IF($E93&lt;&gt;-1,OFFSET(QCI!$G$13,$E93,0),""))</f>
        <v/>
      </c>
      <c r="J92" s="244"/>
      <c r="K92" s="244"/>
      <c r="L92" s="245">
        <f ca="1">IF($E93=0,OFFSET(ORÇAMENTO!C$15,$E92,0),1)</f>
        <v>1</v>
      </c>
      <c r="M92" s="246">
        <f ca="1">IF($E93=-1,0,IF(M$13&lt;=$L92,IF(ISERROR(MATCH(M$13,OFFSET($L92,1,0,ROW($L$164)-ROW($L92)-1),0)),ROW($L$164)-ROW($L92)-1,MATCH(M$13,OFFSET($L92,1,0,ROW($L$164)-ROW($L92)-1),0)-1),0))</f>
        <v>0</v>
      </c>
      <c r="N92" s="246">
        <f ca="1">IF($E93=-1,0,IF(N$13&lt;=$L92,IF(ISERROR(MATCH(N$13,OFFSET($L92,1,0,ROW($L$164)-ROW($L92)-1),0)),ROW($L$164)-ROW($L92)-1,MATCH(N$13,OFFSET($L92,1,0,ROW($L$164)-ROW($L92)-1),0)-1),0))</f>
        <v>0</v>
      </c>
      <c r="O92" s="246">
        <f ca="1">IF($E93=-1,0,IF(O$13&lt;=$L92,IF(ISERROR(MATCH(O$13,OFFSET($L92,1,0,ROW($L$164)-ROW($L92)-1),0)),ROW($L$164)-ROW($L92)-1,MATCH(O$13,OFFSET($L92,1,0,ROW($L$164)-ROW($L92)-1),0)-1),0))</f>
        <v>0</v>
      </c>
      <c r="P92" s="246">
        <f ca="1">IF($E93=-1,0,IF(P$13&lt;=$L92,IF(ISERROR(MATCH(P$13,OFFSET($L92,1,0,ROW($L$164)-ROW($L92)-1),0)),ROW($L$164)-ROW($L92)-1,MATCH(P$13,OFFSET($L92,1,0,ROW($L$164)-ROW($L92)-1),0)-1),0))</f>
        <v>0</v>
      </c>
      <c r="Q92" s="246">
        <f ca="1">MIN(OFFSET(L92,0,1,,L92))</f>
        <v>0</v>
      </c>
      <c r="R92" s="247" t="str">
        <f ca="1">IF($E93=0,OFFSET(ORÇAMENTO!X$15,$E92,0),IF($E93&lt;&gt;-1,OFFSET(QCI!$O$13,$E93,0),""))</f>
        <v/>
      </c>
      <c r="S92" s="248" t="s">
        <v>269</v>
      </c>
      <c r="T92" s="249" t="e">
        <f t="shared" ref="T92:AE92" ca="1" si="29">IF(AND($Q92=2,ACOMPANHAMENTO="BM"),T93,T94/$R92)</f>
        <v>#VALUE!</v>
      </c>
      <c r="U92" s="241" t="e">
        <f t="shared" ca="1" si="29"/>
        <v>#VALUE!</v>
      </c>
      <c r="V92" s="241" t="e">
        <f t="shared" ca="1" si="29"/>
        <v>#VALUE!</v>
      </c>
      <c r="W92" s="241" t="e">
        <f t="shared" ca="1" si="29"/>
        <v>#VALUE!</v>
      </c>
      <c r="X92" s="241" t="e">
        <f t="shared" ca="1" si="29"/>
        <v>#VALUE!</v>
      </c>
      <c r="Y92" s="241" t="e">
        <f t="shared" ca="1" si="29"/>
        <v>#VALUE!</v>
      </c>
      <c r="Z92" s="241" t="e">
        <f t="shared" ca="1" si="29"/>
        <v>#VALUE!</v>
      </c>
      <c r="AA92" s="241" t="e">
        <f t="shared" ca="1" si="29"/>
        <v>#VALUE!</v>
      </c>
      <c r="AB92" s="241" t="e">
        <f t="shared" ca="1" si="29"/>
        <v>#VALUE!</v>
      </c>
      <c r="AC92" s="241" t="e">
        <f t="shared" ca="1" si="29"/>
        <v>#VALUE!</v>
      </c>
      <c r="AD92" s="241" t="e">
        <f t="shared" ca="1" si="29"/>
        <v>#VALUE!</v>
      </c>
      <c r="AE92" s="250" t="e">
        <f t="shared" ca="1" si="29"/>
        <v>#VALUE!</v>
      </c>
    </row>
    <row r="93" spans="1:32" ht="12.75" hidden="1" customHeight="1" x14ac:dyDescent="0.2">
      <c r="D93" s="619"/>
      <c r="E93" s="238">
        <f ca="1">IF(ISERROR(E92),IF(1+COUNTIF($L$13:OFFSET(L92,-1,0),1)&lt;=MAX(QCI!$D$13:$D$24),1+COUNTIF($L$13:OFFSET(L92,-1,0),1),-1),0)</f>
        <v>-1</v>
      </c>
      <c r="F93" s="238" t="str">
        <f ca="1">IF(AND($E93&lt;&gt;-1,$R92&gt;0),"F","")</f>
        <v/>
      </c>
      <c r="G93" s="251" t="str">
        <f ca="1">IF(OR(R92=0,R92=""),"vazia",IF(AND(OR(ACOMPANHAMENTO="PLE",$Q92&lt;&gt;2),$E93=0),"calculada","--&gt;"))</f>
        <v>vazia</v>
      </c>
      <c r="H93" s="252"/>
      <c r="I93" s="253" t="str">
        <f ca="1">IF(AND(G92&lt;&gt;0,ISNUMBER(G92)),"PREENCHA ESTA LINHA --&gt;","")</f>
        <v/>
      </c>
      <c r="J93" s="253"/>
      <c r="K93" s="253"/>
      <c r="L93" s="254"/>
      <c r="M93" s="254"/>
      <c r="N93" s="254"/>
      <c r="O93" s="254"/>
      <c r="P93" s="254"/>
      <c r="Q93" s="254"/>
      <c r="R93" s="255"/>
      <c r="S93" s="256"/>
      <c r="T93" s="620"/>
      <c r="U93" s="619"/>
      <c r="V93" s="619"/>
      <c r="W93" s="619"/>
      <c r="X93" s="619"/>
      <c r="Y93" s="619"/>
      <c r="Z93" s="619"/>
      <c r="AA93" s="619"/>
      <c r="AB93" s="619"/>
      <c r="AC93" s="619"/>
      <c r="AD93" s="619"/>
      <c r="AE93" s="621"/>
      <c r="AF93" s="579"/>
    </row>
    <row r="94" spans="1:32" ht="0.2" hidden="1" customHeight="1" x14ac:dyDescent="0.2">
      <c r="D94" s="257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8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8"/>
      <c r="R94" s="259" t="str">
        <f ca="1">L92&amp;"$"</f>
        <v>1$</v>
      </c>
      <c r="S94" s="260"/>
      <c r="T94" s="261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7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7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7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7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7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7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7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7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7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7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2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8">
        <f ca="1">OFFSET(A95,-3,0)+1</f>
        <v>28</v>
      </c>
      <c r="B95" s="238">
        <f ca="1">IF($Q95&lt;&gt;2,0,IF($R95=0,1,IF(E96&gt;0,OFFSET(QCI!$M$13,SUBSTITUTE(E96,".",""),0),OFFSET(ORÇAMENTO!$AA$15,CRONO!$E95,0))/$R95))</f>
        <v>0</v>
      </c>
      <c r="C95" s="238">
        <f ca="1">IF($Q95&lt;&gt;2,0,IF($R95=0,1,IF(E96&gt;0,OFFSET(QCI!$N$13,SUBSTITUTE(E96,".",""),0),OFFSET(ORÇAMENTO!$AB$15,CRONO!$E95,0))/$R95))</f>
        <v>0</v>
      </c>
      <c r="D95" s="241" t="e">
        <f ca="1">IF(AND($Q95=2,ACOMPANHAMENTO="BM"),D96,D97/$R95)</f>
        <v>#VALUE!</v>
      </c>
      <c r="E95" s="238" t="e">
        <f ca="1">IF(A95&lt;=ORÇAMENTO.MáximoListaCrono,MATCH(A95,ORÇAMENTO.ListaCrono,0),NA())</f>
        <v>#N/A</v>
      </c>
      <c r="F95" s="238" t="str">
        <f ca="1">IF(AND($E96&lt;&gt;-1,$R95&gt;0),"F","")</f>
        <v/>
      </c>
      <c r="G95" s="242" t="str">
        <f ca="1">IF(OR(R95=0,R95=""),"Linha",IF(AND(OR(ACOMPANHAMENTO="PLE",$Q95&lt;&gt;2),$E96=0),"Linha",1-SUM(T95:AF95)))</f>
        <v>Linha</v>
      </c>
      <c r="H95" s="243" t="str">
        <f ca="1">IF($E96=0,OFFSET(ORÇAMENTO!O$15,$E95,0),IF($E96&lt;&gt;-1,OFFSET(QCI!$D$13,$E96,0),""))</f>
        <v/>
      </c>
      <c r="I95" s="244" t="str">
        <f ca="1">IF($E96=0,OFFSET(ORÇAMENTO!R$15,$E95,0),IF($E96&lt;&gt;-1,OFFSET(QCI!$G$13,$E96,0),""))</f>
        <v/>
      </c>
      <c r="J95" s="244"/>
      <c r="K95" s="244"/>
      <c r="L95" s="245">
        <f ca="1">IF($E96=0,OFFSET(ORÇAMENTO!C$15,$E95,0),1)</f>
        <v>1</v>
      </c>
      <c r="M95" s="246">
        <f ca="1">IF($E96=-1,0,IF(M$13&lt;=$L95,IF(ISERROR(MATCH(M$13,OFFSET($L95,1,0,ROW($L$164)-ROW($L95)-1),0)),ROW($L$164)-ROW($L95)-1,MATCH(M$13,OFFSET($L95,1,0,ROW($L$164)-ROW($L95)-1),0)-1),0))</f>
        <v>0</v>
      </c>
      <c r="N95" s="246">
        <f ca="1">IF($E96=-1,0,IF(N$13&lt;=$L95,IF(ISERROR(MATCH(N$13,OFFSET($L95,1,0,ROW($L$164)-ROW($L95)-1),0)),ROW($L$164)-ROW($L95)-1,MATCH(N$13,OFFSET($L95,1,0,ROW($L$164)-ROW($L95)-1),0)-1),0))</f>
        <v>0</v>
      </c>
      <c r="O95" s="246">
        <f ca="1">IF($E96=-1,0,IF(O$13&lt;=$L95,IF(ISERROR(MATCH(O$13,OFFSET($L95,1,0,ROW($L$164)-ROW($L95)-1),0)),ROW($L$164)-ROW($L95)-1,MATCH(O$13,OFFSET($L95,1,0,ROW($L$164)-ROW($L95)-1),0)-1),0))</f>
        <v>0</v>
      </c>
      <c r="P95" s="246">
        <f ca="1">IF($E96=-1,0,IF(P$13&lt;=$L95,IF(ISERROR(MATCH(P$13,OFFSET($L95,1,0,ROW($L$164)-ROW($L95)-1),0)),ROW($L$164)-ROW($L95)-1,MATCH(P$13,OFFSET($L95,1,0,ROW($L$164)-ROW($L95)-1),0)-1),0))</f>
        <v>0</v>
      </c>
      <c r="Q95" s="246">
        <f ca="1">MIN(OFFSET(L95,0,1,,L95))</f>
        <v>0</v>
      </c>
      <c r="R95" s="247" t="str">
        <f ca="1">IF($E96=0,OFFSET(ORÇAMENTO!X$15,$E95,0),IF($E96&lt;&gt;-1,OFFSET(QCI!$O$13,$E96,0),""))</f>
        <v/>
      </c>
      <c r="S95" s="248" t="s">
        <v>269</v>
      </c>
      <c r="T95" s="249" t="e">
        <f t="shared" ref="T95:AE95" ca="1" si="30">IF(AND($Q95=2,ACOMPANHAMENTO="BM"),T96,T97/$R95)</f>
        <v>#VALUE!</v>
      </c>
      <c r="U95" s="241" t="e">
        <f t="shared" ca="1" si="30"/>
        <v>#VALUE!</v>
      </c>
      <c r="V95" s="241" t="e">
        <f t="shared" ca="1" si="30"/>
        <v>#VALUE!</v>
      </c>
      <c r="W95" s="241" t="e">
        <f t="shared" ca="1" si="30"/>
        <v>#VALUE!</v>
      </c>
      <c r="X95" s="241" t="e">
        <f t="shared" ca="1" si="30"/>
        <v>#VALUE!</v>
      </c>
      <c r="Y95" s="241" t="e">
        <f t="shared" ca="1" si="30"/>
        <v>#VALUE!</v>
      </c>
      <c r="Z95" s="241" t="e">
        <f t="shared" ca="1" si="30"/>
        <v>#VALUE!</v>
      </c>
      <c r="AA95" s="241" t="e">
        <f t="shared" ca="1" si="30"/>
        <v>#VALUE!</v>
      </c>
      <c r="AB95" s="241" t="e">
        <f t="shared" ca="1" si="30"/>
        <v>#VALUE!</v>
      </c>
      <c r="AC95" s="241" t="e">
        <f t="shared" ca="1" si="30"/>
        <v>#VALUE!</v>
      </c>
      <c r="AD95" s="241" t="e">
        <f t="shared" ca="1" si="30"/>
        <v>#VALUE!</v>
      </c>
      <c r="AE95" s="250" t="e">
        <f t="shared" ca="1" si="30"/>
        <v>#VALUE!</v>
      </c>
    </row>
    <row r="96" spans="1:32" ht="12.75" hidden="1" customHeight="1" x14ac:dyDescent="0.2">
      <c r="D96" s="619"/>
      <c r="E96" s="238">
        <f ca="1">IF(ISERROR(E95),IF(1+COUNTIF($L$13:OFFSET(L95,-1,0),1)&lt;=MAX(QCI!$D$13:$D$24),1+COUNTIF($L$13:OFFSET(L95,-1,0),1),-1),0)</f>
        <v>-1</v>
      </c>
      <c r="F96" s="238" t="str">
        <f ca="1">IF(AND($E96&lt;&gt;-1,$R95&gt;0),"F","")</f>
        <v/>
      </c>
      <c r="G96" s="251" t="str">
        <f ca="1">IF(OR(R95=0,R95=""),"vazia",IF(AND(OR(ACOMPANHAMENTO="PLE",$Q95&lt;&gt;2),$E96=0),"calculada","--&gt;"))</f>
        <v>vazia</v>
      </c>
      <c r="H96" s="252"/>
      <c r="I96" s="253" t="str">
        <f ca="1">IF(AND(G95&lt;&gt;0,ISNUMBER(G95)),"PREENCHA ESTA LINHA --&gt;","")</f>
        <v/>
      </c>
      <c r="J96" s="253"/>
      <c r="K96" s="253"/>
      <c r="L96" s="254"/>
      <c r="M96" s="254"/>
      <c r="N96" s="254"/>
      <c r="O96" s="254"/>
      <c r="P96" s="254"/>
      <c r="Q96" s="254"/>
      <c r="R96" s="255"/>
      <c r="S96" s="256"/>
      <c r="T96" s="620"/>
      <c r="U96" s="619"/>
      <c r="V96" s="619"/>
      <c r="W96" s="619"/>
      <c r="X96" s="619"/>
      <c r="Y96" s="619"/>
      <c r="Z96" s="619"/>
      <c r="AA96" s="619"/>
      <c r="AB96" s="619"/>
      <c r="AC96" s="619"/>
      <c r="AD96" s="619"/>
      <c r="AE96" s="621"/>
      <c r="AF96" s="579"/>
    </row>
    <row r="97" spans="1:32" ht="0.2" hidden="1" customHeight="1" x14ac:dyDescent="0.2">
      <c r="D97" s="257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8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8"/>
      <c r="R97" s="259" t="str">
        <f ca="1">L95&amp;"$"</f>
        <v>1$</v>
      </c>
      <c r="S97" s="260"/>
      <c r="T97" s="261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7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7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7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7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7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7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7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7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7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7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2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8">
        <f ca="1">OFFSET(A98,-3,0)+1</f>
        <v>29</v>
      </c>
      <c r="B98" s="238">
        <f ca="1">IF($Q98&lt;&gt;2,0,IF($R98=0,1,IF(E99&gt;0,OFFSET(QCI!$M$13,SUBSTITUTE(E99,".",""),0),OFFSET(ORÇAMENTO!$AA$15,CRONO!$E98,0))/$R98))</f>
        <v>0</v>
      </c>
      <c r="C98" s="238">
        <f ca="1">IF($Q98&lt;&gt;2,0,IF($R98=0,1,IF(E99&gt;0,OFFSET(QCI!$N$13,SUBSTITUTE(E99,".",""),0),OFFSET(ORÇAMENTO!$AB$15,CRONO!$E98,0))/$R98))</f>
        <v>0</v>
      </c>
      <c r="D98" s="241" t="e">
        <f ca="1">IF(AND($Q98=2,ACOMPANHAMENTO="BM"),D99,D100/$R98)</f>
        <v>#VALUE!</v>
      </c>
      <c r="E98" s="238" t="e">
        <f ca="1">IF(A98&lt;=ORÇAMENTO.MáximoListaCrono,MATCH(A98,ORÇAMENTO.ListaCrono,0),NA())</f>
        <v>#N/A</v>
      </c>
      <c r="F98" s="238" t="str">
        <f ca="1">IF(AND($E99&lt;&gt;-1,$R98&gt;0),"F","")</f>
        <v/>
      </c>
      <c r="G98" s="242" t="str">
        <f ca="1">IF(OR(R98=0,R98=""),"Linha",IF(AND(OR(ACOMPANHAMENTO="PLE",$Q98&lt;&gt;2),$E99=0),"Linha",1-SUM(T98:AF98)))</f>
        <v>Linha</v>
      </c>
      <c r="H98" s="243" t="str">
        <f ca="1">IF($E99=0,OFFSET(ORÇAMENTO!O$15,$E98,0),IF($E99&lt;&gt;-1,OFFSET(QCI!$D$13,$E99,0),""))</f>
        <v/>
      </c>
      <c r="I98" s="244" t="str">
        <f ca="1">IF($E99=0,OFFSET(ORÇAMENTO!R$15,$E98,0),IF($E99&lt;&gt;-1,OFFSET(QCI!$G$13,$E99,0),""))</f>
        <v/>
      </c>
      <c r="J98" s="244"/>
      <c r="K98" s="244"/>
      <c r="L98" s="245">
        <f ca="1">IF($E99=0,OFFSET(ORÇAMENTO!C$15,$E98,0),1)</f>
        <v>1</v>
      </c>
      <c r="M98" s="246">
        <f ca="1">IF($E99=-1,0,IF(M$13&lt;=$L98,IF(ISERROR(MATCH(M$13,OFFSET($L98,1,0,ROW($L$164)-ROW($L98)-1),0)),ROW($L$164)-ROW($L98)-1,MATCH(M$13,OFFSET($L98,1,0,ROW($L$164)-ROW($L98)-1),0)-1),0))</f>
        <v>0</v>
      </c>
      <c r="N98" s="246">
        <f ca="1">IF($E99=-1,0,IF(N$13&lt;=$L98,IF(ISERROR(MATCH(N$13,OFFSET($L98,1,0,ROW($L$164)-ROW($L98)-1),0)),ROW($L$164)-ROW($L98)-1,MATCH(N$13,OFFSET($L98,1,0,ROW($L$164)-ROW($L98)-1),0)-1),0))</f>
        <v>0</v>
      </c>
      <c r="O98" s="246">
        <f ca="1">IF($E99=-1,0,IF(O$13&lt;=$L98,IF(ISERROR(MATCH(O$13,OFFSET($L98,1,0,ROW($L$164)-ROW($L98)-1),0)),ROW($L$164)-ROW($L98)-1,MATCH(O$13,OFFSET($L98,1,0,ROW($L$164)-ROW($L98)-1),0)-1),0))</f>
        <v>0</v>
      </c>
      <c r="P98" s="246">
        <f ca="1">IF($E99=-1,0,IF(P$13&lt;=$L98,IF(ISERROR(MATCH(P$13,OFFSET($L98,1,0,ROW($L$164)-ROW($L98)-1),0)),ROW($L$164)-ROW($L98)-1,MATCH(P$13,OFFSET($L98,1,0,ROW($L$164)-ROW($L98)-1),0)-1),0))</f>
        <v>0</v>
      </c>
      <c r="Q98" s="246">
        <f ca="1">MIN(OFFSET(L98,0,1,,L98))</f>
        <v>0</v>
      </c>
      <c r="R98" s="247" t="str">
        <f ca="1">IF($E99=0,OFFSET(ORÇAMENTO!X$15,$E98,0),IF($E99&lt;&gt;-1,OFFSET(QCI!$O$13,$E99,0),""))</f>
        <v/>
      </c>
      <c r="S98" s="248" t="s">
        <v>269</v>
      </c>
      <c r="T98" s="249" t="e">
        <f t="shared" ref="T98:AE98" ca="1" si="31">IF(AND($Q98=2,ACOMPANHAMENTO="BM"),T99,T100/$R98)</f>
        <v>#VALUE!</v>
      </c>
      <c r="U98" s="241" t="e">
        <f t="shared" ca="1" si="31"/>
        <v>#VALUE!</v>
      </c>
      <c r="V98" s="241" t="e">
        <f t="shared" ca="1" si="31"/>
        <v>#VALUE!</v>
      </c>
      <c r="W98" s="241" t="e">
        <f t="shared" ca="1" si="31"/>
        <v>#VALUE!</v>
      </c>
      <c r="X98" s="241" t="e">
        <f t="shared" ca="1" si="31"/>
        <v>#VALUE!</v>
      </c>
      <c r="Y98" s="241" t="e">
        <f t="shared" ca="1" si="31"/>
        <v>#VALUE!</v>
      </c>
      <c r="Z98" s="241" t="e">
        <f t="shared" ca="1" si="31"/>
        <v>#VALUE!</v>
      </c>
      <c r="AA98" s="241" t="e">
        <f t="shared" ca="1" si="31"/>
        <v>#VALUE!</v>
      </c>
      <c r="AB98" s="241" t="e">
        <f t="shared" ca="1" si="31"/>
        <v>#VALUE!</v>
      </c>
      <c r="AC98" s="241" t="e">
        <f t="shared" ca="1" si="31"/>
        <v>#VALUE!</v>
      </c>
      <c r="AD98" s="241" t="e">
        <f t="shared" ca="1" si="31"/>
        <v>#VALUE!</v>
      </c>
      <c r="AE98" s="250" t="e">
        <f t="shared" ca="1" si="31"/>
        <v>#VALUE!</v>
      </c>
    </row>
    <row r="99" spans="1:32" ht="12.75" hidden="1" customHeight="1" x14ac:dyDescent="0.2">
      <c r="D99" s="619"/>
      <c r="E99" s="238">
        <f ca="1">IF(ISERROR(E98),IF(1+COUNTIF($L$13:OFFSET(L98,-1,0),1)&lt;=MAX(QCI!$D$13:$D$24),1+COUNTIF($L$13:OFFSET(L98,-1,0),1),-1),0)</f>
        <v>-1</v>
      </c>
      <c r="F99" s="238" t="str">
        <f ca="1">IF(AND($E99&lt;&gt;-1,$R98&gt;0),"F","")</f>
        <v/>
      </c>
      <c r="G99" s="251" t="str">
        <f ca="1">IF(OR(R98=0,R98=""),"vazia",IF(AND(OR(ACOMPANHAMENTO="PLE",$Q98&lt;&gt;2),$E99=0),"calculada","--&gt;"))</f>
        <v>vazia</v>
      </c>
      <c r="H99" s="252"/>
      <c r="I99" s="253" t="str">
        <f ca="1">IF(AND(G98&lt;&gt;0,ISNUMBER(G98)),"PREENCHA ESTA LINHA --&gt;","")</f>
        <v/>
      </c>
      <c r="J99" s="253"/>
      <c r="K99" s="253"/>
      <c r="L99" s="254"/>
      <c r="M99" s="254"/>
      <c r="N99" s="254"/>
      <c r="O99" s="254"/>
      <c r="P99" s="254"/>
      <c r="Q99" s="254"/>
      <c r="R99" s="255"/>
      <c r="S99" s="256"/>
      <c r="T99" s="620"/>
      <c r="U99" s="619"/>
      <c r="V99" s="619"/>
      <c r="W99" s="619"/>
      <c r="X99" s="619"/>
      <c r="Y99" s="619"/>
      <c r="Z99" s="619"/>
      <c r="AA99" s="619"/>
      <c r="AB99" s="619"/>
      <c r="AC99" s="619"/>
      <c r="AD99" s="619"/>
      <c r="AE99" s="621"/>
      <c r="AF99" s="579"/>
    </row>
    <row r="100" spans="1:32" ht="0.2" hidden="1" customHeight="1" x14ac:dyDescent="0.2">
      <c r="D100" s="257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8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8"/>
      <c r="R100" s="259" t="str">
        <f ca="1">L98&amp;"$"</f>
        <v>1$</v>
      </c>
      <c r="S100" s="260"/>
      <c r="T100" s="261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7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7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7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7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7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7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7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7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7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7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2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8">
        <f ca="1">OFFSET(A101,-3,0)+1</f>
        <v>30</v>
      </c>
      <c r="B101" s="238">
        <f ca="1">IF($Q101&lt;&gt;2,0,IF($R101=0,1,IF(E102&gt;0,OFFSET(QCI!$M$13,SUBSTITUTE(E102,".",""),0),OFFSET(ORÇAMENTO!$AA$15,CRONO!$E101,0))/$R101))</f>
        <v>0</v>
      </c>
      <c r="C101" s="238">
        <f ca="1">IF($Q101&lt;&gt;2,0,IF($R101=0,1,IF(E102&gt;0,OFFSET(QCI!$N$13,SUBSTITUTE(E102,".",""),0),OFFSET(ORÇAMENTO!$AB$15,CRONO!$E101,0))/$R101))</f>
        <v>0</v>
      </c>
      <c r="D101" s="241" t="e">
        <f ca="1">IF(AND($Q101=2,ACOMPANHAMENTO="BM"),D102,D103/$R101)</f>
        <v>#VALUE!</v>
      </c>
      <c r="E101" s="238" t="e">
        <f ca="1">IF(A101&lt;=ORÇAMENTO.MáximoListaCrono,MATCH(A101,ORÇAMENTO.ListaCrono,0),NA())</f>
        <v>#N/A</v>
      </c>
      <c r="F101" s="238" t="str">
        <f ca="1">IF(AND($E102&lt;&gt;-1,$R101&gt;0),"F","")</f>
        <v/>
      </c>
      <c r="G101" s="242" t="str">
        <f ca="1">IF(OR(R101=0,R101=""),"Linha",IF(AND(OR(ACOMPANHAMENTO="PLE",$Q101&lt;&gt;2),$E102=0),"Linha",1-SUM(T101:AF101)))</f>
        <v>Linha</v>
      </c>
      <c r="H101" s="243" t="str">
        <f ca="1">IF($E102=0,OFFSET(ORÇAMENTO!O$15,$E101,0),IF($E102&lt;&gt;-1,OFFSET(QCI!$D$13,$E102,0),""))</f>
        <v/>
      </c>
      <c r="I101" s="244" t="str">
        <f ca="1">IF($E102=0,OFFSET(ORÇAMENTO!R$15,$E101,0),IF($E102&lt;&gt;-1,OFFSET(QCI!$G$13,$E102,0),""))</f>
        <v/>
      </c>
      <c r="J101" s="244"/>
      <c r="K101" s="244"/>
      <c r="L101" s="245">
        <f ca="1">IF($E102=0,OFFSET(ORÇAMENTO!C$15,$E101,0),1)</f>
        <v>1</v>
      </c>
      <c r="M101" s="246">
        <f ca="1">IF($E102=-1,0,IF(M$13&lt;=$L101,IF(ISERROR(MATCH(M$13,OFFSET($L101,1,0,ROW($L$164)-ROW($L101)-1),0)),ROW($L$164)-ROW($L101)-1,MATCH(M$13,OFFSET($L101,1,0,ROW($L$164)-ROW($L101)-1),0)-1),0))</f>
        <v>0</v>
      </c>
      <c r="N101" s="246">
        <f ca="1">IF($E102=-1,0,IF(N$13&lt;=$L101,IF(ISERROR(MATCH(N$13,OFFSET($L101,1,0,ROW($L$164)-ROW($L101)-1),0)),ROW($L$164)-ROW($L101)-1,MATCH(N$13,OFFSET($L101,1,0,ROW($L$164)-ROW($L101)-1),0)-1),0))</f>
        <v>0</v>
      </c>
      <c r="O101" s="246">
        <f ca="1">IF($E102=-1,0,IF(O$13&lt;=$L101,IF(ISERROR(MATCH(O$13,OFFSET($L101,1,0,ROW($L$164)-ROW($L101)-1),0)),ROW($L$164)-ROW($L101)-1,MATCH(O$13,OFFSET($L101,1,0,ROW($L$164)-ROW($L101)-1),0)-1),0))</f>
        <v>0</v>
      </c>
      <c r="P101" s="246">
        <f ca="1">IF($E102=-1,0,IF(P$13&lt;=$L101,IF(ISERROR(MATCH(P$13,OFFSET($L101,1,0,ROW($L$164)-ROW($L101)-1),0)),ROW($L$164)-ROW($L101)-1,MATCH(P$13,OFFSET($L101,1,0,ROW($L$164)-ROW($L101)-1),0)-1),0))</f>
        <v>0</v>
      </c>
      <c r="Q101" s="246">
        <f ca="1">MIN(OFFSET(L101,0,1,,L101))</f>
        <v>0</v>
      </c>
      <c r="R101" s="247" t="str">
        <f ca="1">IF($E102=0,OFFSET(ORÇAMENTO!X$15,$E101,0),IF($E102&lt;&gt;-1,OFFSET(QCI!$O$13,$E102,0),""))</f>
        <v/>
      </c>
      <c r="S101" s="248" t="s">
        <v>269</v>
      </c>
      <c r="T101" s="249" t="e">
        <f t="shared" ref="T101:AE101" ca="1" si="32">IF(AND($Q101=2,ACOMPANHAMENTO="BM"),T102,T103/$R101)</f>
        <v>#VALUE!</v>
      </c>
      <c r="U101" s="241" t="e">
        <f t="shared" ca="1" si="32"/>
        <v>#VALUE!</v>
      </c>
      <c r="V101" s="241" t="e">
        <f t="shared" ca="1" si="32"/>
        <v>#VALUE!</v>
      </c>
      <c r="W101" s="241" t="e">
        <f t="shared" ca="1" si="32"/>
        <v>#VALUE!</v>
      </c>
      <c r="X101" s="241" t="e">
        <f t="shared" ca="1" si="32"/>
        <v>#VALUE!</v>
      </c>
      <c r="Y101" s="241" t="e">
        <f t="shared" ca="1" si="32"/>
        <v>#VALUE!</v>
      </c>
      <c r="Z101" s="241" t="e">
        <f t="shared" ca="1" si="32"/>
        <v>#VALUE!</v>
      </c>
      <c r="AA101" s="241" t="e">
        <f t="shared" ca="1" si="32"/>
        <v>#VALUE!</v>
      </c>
      <c r="AB101" s="241" t="e">
        <f t="shared" ca="1" si="32"/>
        <v>#VALUE!</v>
      </c>
      <c r="AC101" s="241" t="e">
        <f t="shared" ca="1" si="32"/>
        <v>#VALUE!</v>
      </c>
      <c r="AD101" s="241" t="e">
        <f t="shared" ca="1" si="32"/>
        <v>#VALUE!</v>
      </c>
      <c r="AE101" s="250" t="e">
        <f t="shared" ca="1" si="32"/>
        <v>#VALUE!</v>
      </c>
    </row>
    <row r="102" spans="1:32" ht="12.75" hidden="1" customHeight="1" x14ac:dyDescent="0.2">
      <c r="D102" s="619"/>
      <c r="E102" s="238">
        <f ca="1">IF(ISERROR(E101),IF(1+COUNTIF($L$13:OFFSET(L101,-1,0),1)&lt;=MAX(QCI!$D$13:$D$24),1+COUNTIF($L$13:OFFSET(L101,-1,0),1),-1),0)</f>
        <v>-1</v>
      </c>
      <c r="F102" s="238" t="str">
        <f ca="1">IF(AND($E102&lt;&gt;-1,$R101&gt;0),"F","")</f>
        <v/>
      </c>
      <c r="G102" s="251" t="str">
        <f ca="1">IF(OR(R101=0,R101=""),"vazia",IF(AND(OR(ACOMPANHAMENTO="PLE",$Q101&lt;&gt;2),$E102=0),"calculada","--&gt;"))</f>
        <v>vazia</v>
      </c>
      <c r="H102" s="252"/>
      <c r="I102" s="253" t="str">
        <f ca="1">IF(AND(G101&lt;&gt;0,ISNUMBER(G101)),"PREENCHA ESTA LINHA --&gt;","")</f>
        <v/>
      </c>
      <c r="J102" s="253"/>
      <c r="K102" s="253"/>
      <c r="L102" s="254"/>
      <c r="M102" s="254"/>
      <c r="N102" s="254"/>
      <c r="O102" s="254"/>
      <c r="P102" s="254"/>
      <c r="Q102" s="254"/>
      <c r="R102" s="255"/>
      <c r="S102" s="256"/>
      <c r="T102" s="620"/>
      <c r="U102" s="619"/>
      <c r="V102" s="619"/>
      <c r="W102" s="619"/>
      <c r="X102" s="619"/>
      <c r="Y102" s="619"/>
      <c r="Z102" s="619"/>
      <c r="AA102" s="619"/>
      <c r="AB102" s="619"/>
      <c r="AC102" s="619"/>
      <c r="AD102" s="619"/>
      <c r="AE102" s="621"/>
      <c r="AF102" s="579"/>
    </row>
    <row r="103" spans="1:32" ht="0.2" hidden="1" customHeight="1" x14ac:dyDescent="0.2">
      <c r="D103" s="257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8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8"/>
      <c r="R103" s="259" t="str">
        <f ca="1">L101&amp;"$"</f>
        <v>1$</v>
      </c>
      <c r="S103" s="260"/>
      <c r="T103" s="261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7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7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7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7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7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7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7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7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7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7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2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8">
        <f ca="1">OFFSET(A104,-3,0)+1</f>
        <v>31</v>
      </c>
      <c r="B104" s="238">
        <f ca="1">IF($Q104&lt;&gt;2,0,IF($R104=0,1,IF(E105&gt;0,OFFSET(QCI!$M$13,SUBSTITUTE(E105,".",""),0),OFFSET(ORÇAMENTO!$AA$15,CRONO!$E104,0))/$R104))</f>
        <v>0</v>
      </c>
      <c r="C104" s="238">
        <f ca="1">IF($Q104&lt;&gt;2,0,IF($R104=0,1,IF(E105&gt;0,OFFSET(QCI!$N$13,SUBSTITUTE(E105,".",""),0),OFFSET(ORÇAMENTO!$AB$15,CRONO!$E104,0))/$R104))</f>
        <v>0</v>
      </c>
      <c r="D104" s="241" t="e">
        <f ca="1">IF(AND($Q104=2,ACOMPANHAMENTO="BM"),D105,D106/$R104)</f>
        <v>#VALUE!</v>
      </c>
      <c r="E104" s="238" t="e">
        <f ca="1">IF(A104&lt;=ORÇAMENTO.MáximoListaCrono,MATCH(A104,ORÇAMENTO.ListaCrono,0),NA())</f>
        <v>#N/A</v>
      </c>
      <c r="F104" s="238" t="str">
        <f ca="1">IF(AND($E105&lt;&gt;-1,$R104&gt;0),"F","")</f>
        <v/>
      </c>
      <c r="G104" s="242" t="str">
        <f ca="1">IF(OR(R104=0,R104=""),"Linha",IF(AND(OR(ACOMPANHAMENTO="PLE",$Q104&lt;&gt;2),$E105=0),"Linha",1-SUM(T104:AF104)))</f>
        <v>Linha</v>
      </c>
      <c r="H104" s="243" t="str">
        <f ca="1">IF($E105=0,OFFSET(ORÇAMENTO!O$15,$E104,0),IF($E105&lt;&gt;-1,OFFSET(QCI!$D$13,$E105,0),""))</f>
        <v/>
      </c>
      <c r="I104" s="244" t="str">
        <f ca="1">IF($E105=0,OFFSET(ORÇAMENTO!R$15,$E104,0),IF($E105&lt;&gt;-1,OFFSET(QCI!$G$13,$E105,0),""))</f>
        <v/>
      </c>
      <c r="J104" s="244"/>
      <c r="K104" s="244"/>
      <c r="L104" s="245">
        <f ca="1">IF($E105=0,OFFSET(ORÇAMENTO!C$15,$E104,0),1)</f>
        <v>1</v>
      </c>
      <c r="M104" s="246">
        <f ca="1">IF($E105=-1,0,IF(M$13&lt;=$L104,IF(ISERROR(MATCH(M$13,OFFSET($L104,1,0,ROW($L$164)-ROW($L104)-1),0)),ROW($L$164)-ROW($L104)-1,MATCH(M$13,OFFSET($L104,1,0,ROW($L$164)-ROW($L104)-1),0)-1),0))</f>
        <v>0</v>
      </c>
      <c r="N104" s="246">
        <f ca="1">IF($E105=-1,0,IF(N$13&lt;=$L104,IF(ISERROR(MATCH(N$13,OFFSET($L104,1,0,ROW($L$164)-ROW($L104)-1),0)),ROW($L$164)-ROW($L104)-1,MATCH(N$13,OFFSET($L104,1,0,ROW($L$164)-ROW($L104)-1),0)-1),0))</f>
        <v>0</v>
      </c>
      <c r="O104" s="246">
        <f ca="1">IF($E105=-1,0,IF(O$13&lt;=$L104,IF(ISERROR(MATCH(O$13,OFFSET($L104,1,0,ROW($L$164)-ROW($L104)-1),0)),ROW($L$164)-ROW($L104)-1,MATCH(O$13,OFFSET($L104,1,0,ROW($L$164)-ROW($L104)-1),0)-1),0))</f>
        <v>0</v>
      </c>
      <c r="P104" s="246">
        <f ca="1">IF($E105=-1,0,IF(P$13&lt;=$L104,IF(ISERROR(MATCH(P$13,OFFSET($L104,1,0,ROW($L$164)-ROW($L104)-1),0)),ROW($L$164)-ROW($L104)-1,MATCH(P$13,OFFSET($L104,1,0,ROW($L$164)-ROW($L104)-1),0)-1),0))</f>
        <v>0</v>
      </c>
      <c r="Q104" s="246">
        <f ca="1">MIN(OFFSET(L104,0,1,,L104))</f>
        <v>0</v>
      </c>
      <c r="R104" s="247" t="str">
        <f ca="1">IF($E105=0,OFFSET(ORÇAMENTO!X$15,$E104,0),IF($E105&lt;&gt;-1,OFFSET(QCI!$O$13,$E105,0),""))</f>
        <v/>
      </c>
      <c r="S104" s="248" t="s">
        <v>269</v>
      </c>
      <c r="T104" s="249" t="e">
        <f t="shared" ref="T104:AE104" ca="1" si="33">IF(AND($Q104=2,ACOMPANHAMENTO="BM"),T105,T106/$R104)</f>
        <v>#VALUE!</v>
      </c>
      <c r="U104" s="241" t="e">
        <f t="shared" ca="1" si="33"/>
        <v>#VALUE!</v>
      </c>
      <c r="V104" s="241" t="e">
        <f t="shared" ca="1" si="33"/>
        <v>#VALUE!</v>
      </c>
      <c r="W104" s="241" t="e">
        <f t="shared" ca="1" si="33"/>
        <v>#VALUE!</v>
      </c>
      <c r="X104" s="241" t="e">
        <f t="shared" ca="1" si="33"/>
        <v>#VALUE!</v>
      </c>
      <c r="Y104" s="241" t="e">
        <f t="shared" ca="1" si="33"/>
        <v>#VALUE!</v>
      </c>
      <c r="Z104" s="241" t="e">
        <f t="shared" ca="1" si="33"/>
        <v>#VALUE!</v>
      </c>
      <c r="AA104" s="241" t="e">
        <f t="shared" ca="1" si="33"/>
        <v>#VALUE!</v>
      </c>
      <c r="AB104" s="241" t="e">
        <f t="shared" ca="1" si="33"/>
        <v>#VALUE!</v>
      </c>
      <c r="AC104" s="241" t="e">
        <f t="shared" ca="1" si="33"/>
        <v>#VALUE!</v>
      </c>
      <c r="AD104" s="241" t="e">
        <f t="shared" ca="1" si="33"/>
        <v>#VALUE!</v>
      </c>
      <c r="AE104" s="250" t="e">
        <f t="shared" ca="1" si="33"/>
        <v>#VALUE!</v>
      </c>
    </row>
    <row r="105" spans="1:32" ht="12.75" hidden="1" customHeight="1" x14ac:dyDescent="0.2">
      <c r="D105" s="619"/>
      <c r="E105" s="238">
        <f ca="1">IF(ISERROR(E104),IF(1+COUNTIF($L$13:OFFSET(L104,-1,0),1)&lt;=MAX(QCI!$D$13:$D$24),1+COUNTIF($L$13:OFFSET(L104,-1,0),1),-1),0)</f>
        <v>-1</v>
      </c>
      <c r="F105" s="238" t="str">
        <f ca="1">IF(AND($E105&lt;&gt;-1,$R104&gt;0),"F","")</f>
        <v/>
      </c>
      <c r="G105" s="251" t="str">
        <f ca="1">IF(OR(R104=0,R104=""),"vazia",IF(AND(OR(ACOMPANHAMENTO="PLE",$Q104&lt;&gt;2),$E105=0),"calculada","--&gt;"))</f>
        <v>vazia</v>
      </c>
      <c r="H105" s="252"/>
      <c r="I105" s="253" t="str">
        <f ca="1">IF(AND(G104&lt;&gt;0,ISNUMBER(G104)),"PREENCHA ESTA LINHA --&gt;","")</f>
        <v/>
      </c>
      <c r="J105" s="253"/>
      <c r="K105" s="253"/>
      <c r="L105" s="254"/>
      <c r="M105" s="254"/>
      <c r="N105" s="254"/>
      <c r="O105" s="254"/>
      <c r="P105" s="254"/>
      <c r="Q105" s="254"/>
      <c r="R105" s="255"/>
      <c r="S105" s="256"/>
      <c r="T105" s="620"/>
      <c r="U105" s="619"/>
      <c r="V105" s="619"/>
      <c r="W105" s="619"/>
      <c r="X105" s="619"/>
      <c r="Y105" s="619"/>
      <c r="Z105" s="619"/>
      <c r="AA105" s="619"/>
      <c r="AB105" s="619"/>
      <c r="AC105" s="619"/>
      <c r="AD105" s="619"/>
      <c r="AE105" s="621"/>
      <c r="AF105" s="579"/>
    </row>
    <row r="106" spans="1:32" ht="0.2" hidden="1" customHeight="1" x14ac:dyDescent="0.2">
      <c r="D106" s="257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8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8"/>
      <c r="R106" s="259" t="str">
        <f ca="1">L104&amp;"$"</f>
        <v>1$</v>
      </c>
      <c r="S106" s="260"/>
      <c r="T106" s="261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7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7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7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7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7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7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7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7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7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7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2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8">
        <f ca="1">OFFSET(A107,-3,0)+1</f>
        <v>32</v>
      </c>
      <c r="B107" s="238">
        <f ca="1">IF($Q107&lt;&gt;2,0,IF($R107=0,1,IF(E108&gt;0,OFFSET(QCI!$M$13,SUBSTITUTE(E108,".",""),0),OFFSET(ORÇAMENTO!$AA$15,CRONO!$E107,0))/$R107))</f>
        <v>0</v>
      </c>
      <c r="C107" s="238">
        <f ca="1">IF($Q107&lt;&gt;2,0,IF($R107=0,1,IF(E108&gt;0,OFFSET(QCI!$N$13,SUBSTITUTE(E108,".",""),0),OFFSET(ORÇAMENTO!$AB$15,CRONO!$E107,0))/$R107))</f>
        <v>0</v>
      </c>
      <c r="D107" s="241" t="e">
        <f ca="1">IF(AND($Q107=2,ACOMPANHAMENTO="BM"),D108,D109/$R107)</f>
        <v>#VALUE!</v>
      </c>
      <c r="E107" s="238" t="e">
        <f ca="1">IF(A107&lt;=ORÇAMENTO.MáximoListaCrono,MATCH(A107,ORÇAMENTO.ListaCrono,0),NA())</f>
        <v>#N/A</v>
      </c>
      <c r="F107" s="238" t="str">
        <f ca="1">IF(AND($E108&lt;&gt;-1,$R107&gt;0),"F","")</f>
        <v/>
      </c>
      <c r="G107" s="242" t="str">
        <f ca="1">IF(OR(R107=0,R107=""),"Linha",IF(AND(OR(ACOMPANHAMENTO="PLE",$Q107&lt;&gt;2),$E108=0),"Linha",1-SUM(T107:AF107)))</f>
        <v>Linha</v>
      </c>
      <c r="H107" s="243" t="str">
        <f ca="1">IF($E108=0,OFFSET(ORÇAMENTO!O$15,$E107,0),IF($E108&lt;&gt;-1,OFFSET(QCI!$D$13,$E108,0),""))</f>
        <v/>
      </c>
      <c r="I107" s="244" t="str">
        <f ca="1">IF($E108=0,OFFSET(ORÇAMENTO!R$15,$E107,0),IF($E108&lt;&gt;-1,OFFSET(QCI!$G$13,$E108,0),""))</f>
        <v/>
      </c>
      <c r="J107" s="244"/>
      <c r="K107" s="244"/>
      <c r="L107" s="245">
        <f ca="1">IF($E108=0,OFFSET(ORÇAMENTO!C$15,$E107,0),1)</f>
        <v>1</v>
      </c>
      <c r="M107" s="246">
        <f ca="1">IF($E108=-1,0,IF(M$13&lt;=$L107,IF(ISERROR(MATCH(M$13,OFFSET($L107,1,0,ROW($L$164)-ROW($L107)-1),0)),ROW($L$164)-ROW($L107)-1,MATCH(M$13,OFFSET($L107,1,0,ROW($L$164)-ROW($L107)-1),0)-1),0))</f>
        <v>0</v>
      </c>
      <c r="N107" s="246">
        <f ca="1">IF($E108=-1,0,IF(N$13&lt;=$L107,IF(ISERROR(MATCH(N$13,OFFSET($L107,1,0,ROW($L$164)-ROW($L107)-1),0)),ROW($L$164)-ROW($L107)-1,MATCH(N$13,OFFSET($L107,1,0,ROW($L$164)-ROW($L107)-1),0)-1),0))</f>
        <v>0</v>
      </c>
      <c r="O107" s="246">
        <f ca="1">IF($E108=-1,0,IF(O$13&lt;=$L107,IF(ISERROR(MATCH(O$13,OFFSET($L107,1,0,ROW($L$164)-ROW($L107)-1),0)),ROW($L$164)-ROW($L107)-1,MATCH(O$13,OFFSET($L107,1,0,ROW($L$164)-ROW($L107)-1),0)-1),0))</f>
        <v>0</v>
      </c>
      <c r="P107" s="246">
        <f ca="1">IF($E108=-1,0,IF(P$13&lt;=$L107,IF(ISERROR(MATCH(P$13,OFFSET($L107,1,0,ROW($L$164)-ROW($L107)-1),0)),ROW($L$164)-ROW($L107)-1,MATCH(P$13,OFFSET($L107,1,0,ROW($L$164)-ROW($L107)-1),0)-1),0))</f>
        <v>0</v>
      </c>
      <c r="Q107" s="246">
        <f ca="1">MIN(OFFSET(L107,0,1,,L107))</f>
        <v>0</v>
      </c>
      <c r="R107" s="247" t="str">
        <f ca="1">IF($E108=0,OFFSET(ORÇAMENTO!X$15,$E107,0),IF($E108&lt;&gt;-1,OFFSET(QCI!$O$13,$E108,0),""))</f>
        <v/>
      </c>
      <c r="S107" s="248" t="s">
        <v>269</v>
      </c>
      <c r="T107" s="249" t="e">
        <f t="shared" ref="T107:AE107" ca="1" si="34">IF(AND($Q107=2,ACOMPANHAMENTO="BM"),T108,T109/$R107)</f>
        <v>#VALUE!</v>
      </c>
      <c r="U107" s="241" t="e">
        <f t="shared" ca="1" si="34"/>
        <v>#VALUE!</v>
      </c>
      <c r="V107" s="241" t="e">
        <f t="shared" ca="1" si="34"/>
        <v>#VALUE!</v>
      </c>
      <c r="W107" s="241" t="e">
        <f t="shared" ca="1" si="34"/>
        <v>#VALUE!</v>
      </c>
      <c r="X107" s="241" t="e">
        <f t="shared" ca="1" si="34"/>
        <v>#VALUE!</v>
      </c>
      <c r="Y107" s="241" t="e">
        <f t="shared" ca="1" si="34"/>
        <v>#VALUE!</v>
      </c>
      <c r="Z107" s="241" t="e">
        <f t="shared" ca="1" si="34"/>
        <v>#VALUE!</v>
      </c>
      <c r="AA107" s="241" t="e">
        <f t="shared" ca="1" si="34"/>
        <v>#VALUE!</v>
      </c>
      <c r="AB107" s="241" t="e">
        <f t="shared" ca="1" si="34"/>
        <v>#VALUE!</v>
      </c>
      <c r="AC107" s="241" t="e">
        <f t="shared" ca="1" si="34"/>
        <v>#VALUE!</v>
      </c>
      <c r="AD107" s="241" t="e">
        <f t="shared" ca="1" si="34"/>
        <v>#VALUE!</v>
      </c>
      <c r="AE107" s="250" t="e">
        <f t="shared" ca="1" si="34"/>
        <v>#VALUE!</v>
      </c>
    </row>
    <row r="108" spans="1:32" ht="12.75" hidden="1" customHeight="1" x14ac:dyDescent="0.2">
      <c r="D108" s="619"/>
      <c r="E108" s="238">
        <f ca="1">IF(ISERROR(E107),IF(1+COUNTIF($L$13:OFFSET(L107,-1,0),1)&lt;=MAX(QCI!$D$13:$D$24),1+COUNTIF($L$13:OFFSET(L107,-1,0),1),-1),0)</f>
        <v>-1</v>
      </c>
      <c r="F108" s="238" t="str">
        <f ca="1">IF(AND($E108&lt;&gt;-1,$R107&gt;0),"F","")</f>
        <v/>
      </c>
      <c r="G108" s="251" t="str">
        <f ca="1">IF(OR(R107=0,R107=""),"vazia",IF(AND(OR(ACOMPANHAMENTO="PLE",$Q107&lt;&gt;2),$E108=0),"calculada","--&gt;"))</f>
        <v>vazia</v>
      </c>
      <c r="H108" s="252"/>
      <c r="I108" s="253" t="str">
        <f ca="1">IF(AND(G107&lt;&gt;0,ISNUMBER(G107)),"PREENCHA ESTA LINHA --&gt;","")</f>
        <v/>
      </c>
      <c r="J108" s="253"/>
      <c r="K108" s="253"/>
      <c r="L108" s="254"/>
      <c r="M108" s="254"/>
      <c r="N108" s="254"/>
      <c r="O108" s="254"/>
      <c r="P108" s="254"/>
      <c r="Q108" s="254"/>
      <c r="R108" s="255"/>
      <c r="S108" s="256"/>
      <c r="T108" s="620"/>
      <c r="U108" s="619"/>
      <c r="V108" s="619"/>
      <c r="W108" s="619"/>
      <c r="X108" s="619"/>
      <c r="Y108" s="619"/>
      <c r="Z108" s="619"/>
      <c r="AA108" s="619"/>
      <c r="AB108" s="619"/>
      <c r="AC108" s="619"/>
      <c r="AD108" s="619"/>
      <c r="AE108" s="621"/>
      <c r="AF108" s="579"/>
    </row>
    <row r="109" spans="1:32" ht="0.2" hidden="1" customHeight="1" x14ac:dyDescent="0.2">
      <c r="D109" s="257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8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8"/>
      <c r="R109" s="259" t="str">
        <f ca="1">L107&amp;"$"</f>
        <v>1$</v>
      </c>
      <c r="S109" s="260"/>
      <c r="T109" s="261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7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7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7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7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7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7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7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7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7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7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2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8">
        <f ca="1">OFFSET(A110,-3,0)+1</f>
        <v>33</v>
      </c>
      <c r="B110" s="238">
        <f ca="1">IF($Q110&lt;&gt;2,0,IF($R110=0,1,IF(E111&gt;0,OFFSET(QCI!$M$13,SUBSTITUTE(E111,".",""),0),OFFSET(ORÇAMENTO!$AA$15,CRONO!$E110,0))/$R110))</f>
        <v>0</v>
      </c>
      <c r="C110" s="238">
        <f ca="1">IF($Q110&lt;&gt;2,0,IF($R110=0,1,IF(E111&gt;0,OFFSET(QCI!$N$13,SUBSTITUTE(E111,".",""),0),OFFSET(ORÇAMENTO!$AB$15,CRONO!$E110,0))/$R110))</f>
        <v>0</v>
      </c>
      <c r="D110" s="241" t="e">
        <f ca="1">IF(AND($Q110=2,ACOMPANHAMENTO="BM"),D111,D112/$R110)</f>
        <v>#VALUE!</v>
      </c>
      <c r="E110" s="238" t="e">
        <f ca="1">IF(A110&lt;=ORÇAMENTO.MáximoListaCrono,MATCH(A110,ORÇAMENTO.ListaCrono,0),NA())</f>
        <v>#N/A</v>
      </c>
      <c r="F110" s="238" t="str">
        <f ca="1">IF(AND($E111&lt;&gt;-1,$R110&gt;0),"F","")</f>
        <v/>
      </c>
      <c r="G110" s="242" t="str">
        <f ca="1">IF(OR(R110=0,R110=""),"Linha",IF(AND(OR(ACOMPANHAMENTO="PLE",$Q110&lt;&gt;2),$E111=0),"Linha",1-SUM(T110:AF110)))</f>
        <v>Linha</v>
      </c>
      <c r="H110" s="243" t="str">
        <f ca="1">IF($E111=0,OFFSET(ORÇAMENTO!O$15,$E110,0),IF($E111&lt;&gt;-1,OFFSET(QCI!$D$13,$E111,0),""))</f>
        <v/>
      </c>
      <c r="I110" s="244" t="str">
        <f ca="1">IF($E111=0,OFFSET(ORÇAMENTO!R$15,$E110,0),IF($E111&lt;&gt;-1,OFFSET(QCI!$G$13,$E111,0),""))</f>
        <v/>
      </c>
      <c r="J110" s="244"/>
      <c r="K110" s="244"/>
      <c r="L110" s="245">
        <f ca="1">IF($E111=0,OFFSET(ORÇAMENTO!C$15,$E110,0),1)</f>
        <v>1</v>
      </c>
      <c r="M110" s="246">
        <f ca="1">IF($E111=-1,0,IF(M$13&lt;=$L110,IF(ISERROR(MATCH(M$13,OFFSET($L110,1,0,ROW($L$164)-ROW($L110)-1),0)),ROW($L$164)-ROW($L110)-1,MATCH(M$13,OFFSET($L110,1,0,ROW($L$164)-ROW($L110)-1),0)-1),0))</f>
        <v>0</v>
      </c>
      <c r="N110" s="246">
        <f ca="1">IF($E111=-1,0,IF(N$13&lt;=$L110,IF(ISERROR(MATCH(N$13,OFFSET($L110,1,0,ROW($L$164)-ROW($L110)-1),0)),ROW($L$164)-ROW($L110)-1,MATCH(N$13,OFFSET($L110,1,0,ROW($L$164)-ROW($L110)-1),0)-1),0))</f>
        <v>0</v>
      </c>
      <c r="O110" s="246">
        <f ca="1">IF($E111=-1,0,IF(O$13&lt;=$L110,IF(ISERROR(MATCH(O$13,OFFSET($L110,1,0,ROW($L$164)-ROW($L110)-1),0)),ROW($L$164)-ROW($L110)-1,MATCH(O$13,OFFSET($L110,1,0,ROW($L$164)-ROW($L110)-1),0)-1),0))</f>
        <v>0</v>
      </c>
      <c r="P110" s="246">
        <f ca="1">IF($E111=-1,0,IF(P$13&lt;=$L110,IF(ISERROR(MATCH(P$13,OFFSET($L110,1,0,ROW($L$164)-ROW($L110)-1),0)),ROW($L$164)-ROW($L110)-1,MATCH(P$13,OFFSET($L110,1,0,ROW($L$164)-ROW($L110)-1),0)-1),0))</f>
        <v>0</v>
      </c>
      <c r="Q110" s="246">
        <f ca="1">MIN(OFFSET(L110,0,1,,L110))</f>
        <v>0</v>
      </c>
      <c r="R110" s="247" t="str">
        <f ca="1">IF($E111=0,OFFSET(ORÇAMENTO!X$15,$E110,0),IF($E111&lt;&gt;-1,OFFSET(QCI!$O$13,$E111,0),""))</f>
        <v/>
      </c>
      <c r="S110" s="248" t="s">
        <v>269</v>
      </c>
      <c r="T110" s="249" t="e">
        <f t="shared" ref="T110:AE110" ca="1" si="35">IF(AND($Q110=2,ACOMPANHAMENTO="BM"),T111,T112/$R110)</f>
        <v>#VALUE!</v>
      </c>
      <c r="U110" s="241" t="e">
        <f t="shared" ca="1" si="35"/>
        <v>#VALUE!</v>
      </c>
      <c r="V110" s="241" t="e">
        <f t="shared" ca="1" si="35"/>
        <v>#VALUE!</v>
      </c>
      <c r="W110" s="241" t="e">
        <f t="shared" ca="1" si="35"/>
        <v>#VALUE!</v>
      </c>
      <c r="X110" s="241" t="e">
        <f t="shared" ca="1" si="35"/>
        <v>#VALUE!</v>
      </c>
      <c r="Y110" s="241" t="e">
        <f t="shared" ca="1" si="35"/>
        <v>#VALUE!</v>
      </c>
      <c r="Z110" s="241" t="e">
        <f t="shared" ca="1" si="35"/>
        <v>#VALUE!</v>
      </c>
      <c r="AA110" s="241" t="e">
        <f t="shared" ca="1" si="35"/>
        <v>#VALUE!</v>
      </c>
      <c r="AB110" s="241" t="e">
        <f t="shared" ca="1" si="35"/>
        <v>#VALUE!</v>
      </c>
      <c r="AC110" s="241" t="e">
        <f t="shared" ca="1" si="35"/>
        <v>#VALUE!</v>
      </c>
      <c r="AD110" s="241" t="e">
        <f t="shared" ca="1" si="35"/>
        <v>#VALUE!</v>
      </c>
      <c r="AE110" s="250" t="e">
        <f t="shared" ca="1" si="35"/>
        <v>#VALUE!</v>
      </c>
    </row>
    <row r="111" spans="1:32" ht="12.75" hidden="1" customHeight="1" x14ac:dyDescent="0.2">
      <c r="D111" s="619"/>
      <c r="E111" s="238">
        <f ca="1">IF(ISERROR(E110),IF(1+COUNTIF($L$13:OFFSET(L110,-1,0),1)&lt;=MAX(QCI!$D$13:$D$24),1+COUNTIF($L$13:OFFSET(L110,-1,0),1),-1),0)</f>
        <v>-1</v>
      </c>
      <c r="F111" s="238" t="str">
        <f ca="1">IF(AND($E111&lt;&gt;-1,$R110&gt;0),"F","")</f>
        <v/>
      </c>
      <c r="G111" s="251" t="str">
        <f ca="1">IF(OR(R110=0,R110=""),"vazia",IF(AND(OR(ACOMPANHAMENTO="PLE",$Q110&lt;&gt;2),$E111=0),"calculada","--&gt;"))</f>
        <v>vazia</v>
      </c>
      <c r="H111" s="252"/>
      <c r="I111" s="253" t="str">
        <f ca="1">IF(AND(G110&lt;&gt;0,ISNUMBER(G110)),"PREENCHA ESTA LINHA --&gt;","")</f>
        <v/>
      </c>
      <c r="J111" s="253"/>
      <c r="K111" s="253"/>
      <c r="L111" s="254"/>
      <c r="M111" s="254"/>
      <c r="N111" s="254"/>
      <c r="O111" s="254"/>
      <c r="P111" s="254"/>
      <c r="Q111" s="254"/>
      <c r="R111" s="255"/>
      <c r="S111" s="256"/>
      <c r="T111" s="620"/>
      <c r="U111" s="619"/>
      <c r="V111" s="619"/>
      <c r="W111" s="619"/>
      <c r="X111" s="619"/>
      <c r="Y111" s="619"/>
      <c r="Z111" s="619"/>
      <c r="AA111" s="619"/>
      <c r="AB111" s="619"/>
      <c r="AC111" s="619"/>
      <c r="AD111" s="619"/>
      <c r="AE111" s="621"/>
      <c r="AF111" s="579"/>
    </row>
    <row r="112" spans="1:32" ht="0.2" hidden="1" customHeight="1" x14ac:dyDescent="0.2">
      <c r="D112" s="257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8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8"/>
      <c r="R112" s="259" t="str">
        <f ca="1">L110&amp;"$"</f>
        <v>1$</v>
      </c>
      <c r="S112" s="260"/>
      <c r="T112" s="261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7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7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7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7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7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7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7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7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7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7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2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8">
        <f ca="1">OFFSET(A113,-3,0)+1</f>
        <v>34</v>
      </c>
      <c r="B113" s="238">
        <f ca="1">IF($Q113&lt;&gt;2,0,IF($R113=0,1,IF(E114&gt;0,OFFSET(QCI!$M$13,SUBSTITUTE(E114,".",""),0),OFFSET(ORÇAMENTO!$AA$15,CRONO!$E113,0))/$R113))</f>
        <v>0</v>
      </c>
      <c r="C113" s="238">
        <f ca="1">IF($Q113&lt;&gt;2,0,IF($R113=0,1,IF(E114&gt;0,OFFSET(QCI!$N$13,SUBSTITUTE(E114,".",""),0),OFFSET(ORÇAMENTO!$AB$15,CRONO!$E113,0))/$R113))</f>
        <v>0</v>
      </c>
      <c r="D113" s="241" t="e">
        <f ca="1">IF(AND($Q113=2,ACOMPANHAMENTO="BM"),D114,D115/$R113)</f>
        <v>#VALUE!</v>
      </c>
      <c r="E113" s="238" t="e">
        <f ca="1">IF(A113&lt;=ORÇAMENTO.MáximoListaCrono,MATCH(A113,ORÇAMENTO.ListaCrono,0),NA())</f>
        <v>#N/A</v>
      </c>
      <c r="F113" s="238" t="str">
        <f ca="1">IF(AND($E114&lt;&gt;-1,$R113&gt;0),"F","")</f>
        <v/>
      </c>
      <c r="G113" s="242" t="str">
        <f ca="1">IF(OR(R113=0,R113=""),"Linha",IF(AND(OR(ACOMPANHAMENTO="PLE",$Q113&lt;&gt;2),$E114=0),"Linha",1-SUM(T113:AF113)))</f>
        <v>Linha</v>
      </c>
      <c r="H113" s="243" t="str">
        <f ca="1">IF($E114=0,OFFSET(ORÇAMENTO!O$15,$E113,0),IF($E114&lt;&gt;-1,OFFSET(QCI!$D$13,$E114,0),""))</f>
        <v/>
      </c>
      <c r="I113" s="244" t="str">
        <f ca="1">IF($E114=0,OFFSET(ORÇAMENTO!R$15,$E113,0),IF($E114&lt;&gt;-1,OFFSET(QCI!$G$13,$E114,0),""))</f>
        <v/>
      </c>
      <c r="J113" s="244"/>
      <c r="K113" s="244"/>
      <c r="L113" s="245">
        <f ca="1">IF($E114=0,OFFSET(ORÇAMENTO!C$15,$E113,0),1)</f>
        <v>1</v>
      </c>
      <c r="M113" s="246">
        <f ca="1">IF($E114=-1,0,IF(M$13&lt;=$L113,IF(ISERROR(MATCH(M$13,OFFSET($L113,1,0,ROW($L$164)-ROW($L113)-1),0)),ROW($L$164)-ROW($L113)-1,MATCH(M$13,OFFSET($L113,1,0,ROW($L$164)-ROW($L113)-1),0)-1),0))</f>
        <v>0</v>
      </c>
      <c r="N113" s="246">
        <f ca="1">IF($E114=-1,0,IF(N$13&lt;=$L113,IF(ISERROR(MATCH(N$13,OFFSET($L113,1,0,ROW($L$164)-ROW($L113)-1),0)),ROW($L$164)-ROW($L113)-1,MATCH(N$13,OFFSET($L113,1,0,ROW($L$164)-ROW($L113)-1),0)-1),0))</f>
        <v>0</v>
      </c>
      <c r="O113" s="246">
        <f ca="1">IF($E114=-1,0,IF(O$13&lt;=$L113,IF(ISERROR(MATCH(O$13,OFFSET($L113,1,0,ROW($L$164)-ROW($L113)-1),0)),ROW($L$164)-ROW($L113)-1,MATCH(O$13,OFFSET($L113,1,0,ROW($L$164)-ROW($L113)-1),0)-1),0))</f>
        <v>0</v>
      </c>
      <c r="P113" s="246">
        <f ca="1">IF($E114=-1,0,IF(P$13&lt;=$L113,IF(ISERROR(MATCH(P$13,OFFSET($L113,1,0,ROW($L$164)-ROW($L113)-1),0)),ROW($L$164)-ROW($L113)-1,MATCH(P$13,OFFSET($L113,1,0,ROW($L$164)-ROW($L113)-1),0)-1),0))</f>
        <v>0</v>
      </c>
      <c r="Q113" s="246">
        <f ca="1">MIN(OFFSET(L113,0,1,,L113))</f>
        <v>0</v>
      </c>
      <c r="R113" s="247" t="str">
        <f ca="1">IF($E114=0,OFFSET(ORÇAMENTO!X$15,$E113,0),IF($E114&lt;&gt;-1,OFFSET(QCI!$O$13,$E114,0),""))</f>
        <v/>
      </c>
      <c r="S113" s="248" t="s">
        <v>269</v>
      </c>
      <c r="T113" s="249" t="e">
        <f t="shared" ref="T113:AE113" ca="1" si="36">IF(AND($Q113=2,ACOMPANHAMENTO="BM"),T114,T115/$R113)</f>
        <v>#VALUE!</v>
      </c>
      <c r="U113" s="241" t="e">
        <f t="shared" ca="1" si="36"/>
        <v>#VALUE!</v>
      </c>
      <c r="V113" s="241" t="e">
        <f t="shared" ca="1" si="36"/>
        <v>#VALUE!</v>
      </c>
      <c r="W113" s="241" t="e">
        <f t="shared" ca="1" si="36"/>
        <v>#VALUE!</v>
      </c>
      <c r="X113" s="241" t="e">
        <f t="shared" ca="1" si="36"/>
        <v>#VALUE!</v>
      </c>
      <c r="Y113" s="241" t="e">
        <f t="shared" ca="1" si="36"/>
        <v>#VALUE!</v>
      </c>
      <c r="Z113" s="241" t="e">
        <f t="shared" ca="1" si="36"/>
        <v>#VALUE!</v>
      </c>
      <c r="AA113" s="241" t="e">
        <f t="shared" ca="1" si="36"/>
        <v>#VALUE!</v>
      </c>
      <c r="AB113" s="241" t="e">
        <f t="shared" ca="1" si="36"/>
        <v>#VALUE!</v>
      </c>
      <c r="AC113" s="241" t="e">
        <f t="shared" ca="1" si="36"/>
        <v>#VALUE!</v>
      </c>
      <c r="AD113" s="241" t="e">
        <f t="shared" ca="1" si="36"/>
        <v>#VALUE!</v>
      </c>
      <c r="AE113" s="250" t="e">
        <f t="shared" ca="1" si="36"/>
        <v>#VALUE!</v>
      </c>
    </row>
    <row r="114" spans="1:32" ht="12.75" hidden="1" customHeight="1" x14ac:dyDescent="0.2">
      <c r="D114" s="619"/>
      <c r="E114" s="238">
        <f ca="1">IF(ISERROR(E113),IF(1+COUNTIF($L$13:OFFSET(L113,-1,0),1)&lt;=MAX(QCI!$D$13:$D$24),1+COUNTIF($L$13:OFFSET(L113,-1,0),1),-1),0)</f>
        <v>-1</v>
      </c>
      <c r="F114" s="238" t="str">
        <f ca="1">IF(AND($E114&lt;&gt;-1,$R113&gt;0),"F","")</f>
        <v/>
      </c>
      <c r="G114" s="251" t="str">
        <f ca="1">IF(OR(R113=0,R113=""),"vazia",IF(AND(OR(ACOMPANHAMENTO="PLE",$Q113&lt;&gt;2),$E114=0),"calculada","--&gt;"))</f>
        <v>vazia</v>
      </c>
      <c r="H114" s="252"/>
      <c r="I114" s="253" t="str">
        <f ca="1">IF(AND(G113&lt;&gt;0,ISNUMBER(G113)),"PREENCHA ESTA LINHA --&gt;","")</f>
        <v/>
      </c>
      <c r="J114" s="253"/>
      <c r="K114" s="253"/>
      <c r="L114" s="254"/>
      <c r="M114" s="254"/>
      <c r="N114" s="254"/>
      <c r="O114" s="254"/>
      <c r="P114" s="254"/>
      <c r="Q114" s="254"/>
      <c r="R114" s="255"/>
      <c r="S114" s="256"/>
      <c r="T114" s="620"/>
      <c r="U114" s="619"/>
      <c r="V114" s="619"/>
      <c r="W114" s="619"/>
      <c r="X114" s="619"/>
      <c r="Y114" s="619"/>
      <c r="Z114" s="619"/>
      <c r="AA114" s="619"/>
      <c r="AB114" s="619"/>
      <c r="AC114" s="619"/>
      <c r="AD114" s="619"/>
      <c r="AE114" s="621"/>
      <c r="AF114" s="579"/>
    </row>
    <row r="115" spans="1:32" ht="0.2" hidden="1" customHeight="1" x14ac:dyDescent="0.2">
      <c r="D115" s="257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8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8"/>
      <c r="R115" s="259" t="str">
        <f ca="1">L113&amp;"$"</f>
        <v>1$</v>
      </c>
      <c r="S115" s="260"/>
      <c r="T115" s="261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7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7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7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7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7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7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7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7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7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7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2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8">
        <f ca="1">OFFSET(A116,-3,0)+1</f>
        <v>35</v>
      </c>
      <c r="B116" s="238">
        <f ca="1">IF($Q116&lt;&gt;2,0,IF($R116=0,1,IF(E117&gt;0,OFFSET(QCI!$M$13,SUBSTITUTE(E117,".",""),0),OFFSET(ORÇAMENTO!$AA$15,CRONO!$E116,0))/$R116))</f>
        <v>0</v>
      </c>
      <c r="C116" s="238">
        <f ca="1">IF($Q116&lt;&gt;2,0,IF($R116=0,1,IF(E117&gt;0,OFFSET(QCI!$N$13,SUBSTITUTE(E117,".",""),0),OFFSET(ORÇAMENTO!$AB$15,CRONO!$E116,0))/$R116))</f>
        <v>0</v>
      </c>
      <c r="D116" s="241" t="e">
        <f ca="1">IF(AND($Q116=2,ACOMPANHAMENTO="BM"),D117,D118/$R116)</f>
        <v>#VALUE!</v>
      </c>
      <c r="E116" s="238" t="e">
        <f ca="1">IF(A116&lt;=ORÇAMENTO.MáximoListaCrono,MATCH(A116,ORÇAMENTO.ListaCrono,0),NA())</f>
        <v>#N/A</v>
      </c>
      <c r="F116" s="238" t="str">
        <f ca="1">IF(AND($E117&lt;&gt;-1,$R116&gt;0),"F","")</f>
        <v/>
      </c>
      <c r="G116" s="242" t="str">
        <f ca="1">IF(OR(R116=0,R116=""),"Linha",IF(AND(OR(ACOMPANHAMENTO="PLE",$Q116&lt;&gt;2),$E117=0),"Linha",1-SUM(T116:AF116)))</f>
        <v>Linha</v>
      </c>
      <c r="H116" s="243" t="str">
        <f ca="1">IF($E117=0,OFFSET(ORÇAMENTO!O$15,$E116,0),IF($E117&lt;&gt;-1,OFFSET(QCI!$D$13,$E117,0),""))</f>
        <v/>
      </c>
      <c r="I116" s="244" t="str">
        <f ca="1">IF($E117=0,OFFSET(ORÇAMENTO!R$15,$E116,0),IF($E117&lt;&gt;-1,OFFSET(QCI!$G$13,$E117,0),""))</f>
        <v/>
      </c>
      <c r="J116" s="244"/>
      <c r="K116" s="244"/>
      <c r="L116" s="245">
        <f ca="1">IF($E117=0,OFFSET(ORÇAMENTO!C$15,$E116,0),1)</f>
        <v>1</v>
      </c>
      <c r="M116" s="246">
        <f ca="1">IF($E117=-1,0,IF(M$13&lt;=$L116,IF(ISERROR(MATCH(M$13,OFFSET($L116,1,0,ROW($L$164)-ROW($L116)-1),0)),ROW($L$164)-ROW($L116)-1,MATCH(M$13,OFFSET($L116,1,0,ROW($L$164)-ROW($L116)-1),0)-1),0))</f>
        <v>0</v>
      </c>
      <c r="N116" s="246">
        <f ca="1">IF($E117=-1,0,IF(N$13&lt;=$L116,IF(ISERROR(MATCH(N$13,OFFSET($L116,1,0,ROW($L$164)-ROW($L116)-1),0)),ROW($L$164)-ROW($L116)-1,MATCH(N$13,OFFSET($L116,1,0,ROW($L$164)-ROW($L116)-1),0)-1),0))</f>
        <v>0</v>
      </c>
      <c r="O116" s="246">
        <f ca="1">IF($E117=-1,0,IF(O$13&lt;=$L116,IF(ISERROR(MATCH(O$13,OFFSET($L116,1,0,ROW($L$164)-ROW($L116)-1),0)),ROW($L$164)-ROW($L116)-1,MATCH(O$13,OFFSET($L116,1,0,ROW($L$164)-ROW($L116)-1),0)-1),0))</f>
        <v>0</v>
      </c>
      <c r="P116" s="246">
        <f ca="1">IF($E117=-1,0,IF(P$13&lt;=$L116,IF(ISERROR(MATCH(P$13,OFFSET($L116,1,0,ROW($L$164)-ROW($L116)-1),0)),ROW($L$164)-ROW($L116)-1,MATCH(P$13,OFFSET($L116,1,0,ROW($L$164)-ROW($L116)-1),0)-1),0))</f>
        <v>0</v>
      </c>
      <c r="Q116" s="246">
        <f ca="1">MIN(OFFSET(L116,0,1,,L116))</f>
        <v>0</v>
      </c>
      <c r="R116" s="247" t="str">
        <f ca="1">IF($E117=0,OFFSET(ORÇAMENTO!X$15,$E116,0),IF($E117&lt;&gt;-1,OFFSET(QCI!$O$13,$E117,0),""))</f>
        <v/>
      </c>
      <c r="S116" s="248" t="s">
        <v>269</v>
      </c>
      <c r="T116" s="249" t="e">
        <f t="shared" ref="T116:AE116" ca="1" si="37">IF(AND($Q116=2,ACOMPANHAMENTO="BM"),T117,T118/$R116)</f>
        <v>#VALUE!</v>
      </c>
      <c r="U116" s="241" t="e">
        <f t="shared" ca="1" si="37"/>
        <v>#VALUE!</v>
      </c>
      <c r="V116" s="241" t="e">
        <f t="shared" ca="1" si="37"/>
        <v>#VALUE!</v>
      </c>
      <c r="W116" s="241" t="e">
        <f t="shared" ca="1" si="37"/>
        <v>#VALUE!</v>
      </c>
      <c r="X116" s="241" t="e">
        <f t="shared" ca="1" si="37"/>
        <v>#VALUE!</v>
      </c>
      <c r="Y116" s="241" t="e">
        <f t="shared" ca="1" si="37"/>
        <v>#VALUE!</v>
      </c>
      <c r="Z116" s="241" t="e">
        <f t="shared" ca="1" si="37"/>
        <v>#VALUE!</v>
      </c>
      <c r="AA116" s="241" t="e">
        <f t="shared" ca="1" si="37"/>
        <v>#VALUE!</v>
      </c>
      <c r="AB116" s="241" t="e">
        <f t="shared" ca="1" si="37"/>
        <v>#VALUE!</v>
      </c>
      <c r="AC116" s="241" t="e">
        <f t="shared" ca="1" si="37"/>
        <v>#VALUE!</v>
      </c>
      <c r="AD116" s="241" t="e">
        <f t="shared" ca="1" si="37"/>
        <v>#VALUE!</v>
      </c>
      <c r="AE116" s="250" t="e">
        <f t="shared" ca="1" si="37"/>
        <v>#VALUE!</v>
      </c>
    </row>
    <row r="117" spans="1:32" ht="12.75" hidden="1" customHeight="1" x14ac:dyDescent="0.2">
      <c r="D117" s="619"/>
      <c r="E117" s="238">
        <f ca="1">IF(ISERROR(E116),IF(1+COUNTIF($L$13:OFFSET(L116,-1,0),1)&lt;=MAX(QCI!$D$13:$D$24),1+COUNTIF($L$13:OFFSET(L116,-1,0),1),-1),0)</f>
        <v>-1</v>
      </c>
      <c r="F117" s="238" t="str">
        <f ca="1">IF(AND($E117&lt;&gt;-1,$R116&gt;0),"F","")</f>
        <v/>
      </c>
      <c r="G117" s="251" t="str">
        <f ca="1">IF(OR(R116=0,R116=""),"vazia",IF(AND(OR(ACOMPANHAMENTO="PLE",$Q116&lt;&gt;2),$E117=0),"calculada","--&gt;"))</f>
        <v>vazia</v>
      </c>
      <c r="H117" s="252"/>
      <c r="I117" s="253" t="str">
        <f ca="1">IF(AND(G116&lt;&gt;0,ISNUMBER(G116)),"PREENCHA ESTA LINHA --&gt;","")</f>
        <v/>
      </c>
      <c r="J117" s="253"/>
      <c r="K117" s="253"/>
      <c r="L117" s="254"/>
      <c r="M117" s="254"/>
      <c r="N117" s="254"/>
      <c r="O117" s="254"/>
      <c r="P117" s="254"/>
      <c r="Q117" s="254"/>
      <c r="R117" s="255"/>
      <c r="S117" s="256"/>
      <c r="T117" s="620"/>
      <c r="U117" s="619"/>
      <c r="V117" s="619"/>
      <c r="W117" s="619"/>
      <c r="X117" s="619"/>
      <c r="Y117" s="619"/>
      <c r="Z117" s="619"/>
      <c r="AA117" s="619"/>
      <c r="AB117" s="619"/>
      <c r="AC117" s="619"/>
      <c r="AD117" s="619"/>
      <c r="AE117" s="621"/>
      <c r="AF117" s="579"/>
    </row>
    <row r="118" spans="1:32" ht="0.2" hidden="1" customHeight="1" x14ac:dyDescent="0.2">
      <c r="D118" s="257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8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8"/>
      <c r="R118" s="259" t="str">
        <f ca="1">L116&amp;"$"</f>
        <v>1$</v>
      </c>
      <c r="S118" s="260"/>
      <c r="T118" s="261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7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7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7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7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7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7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7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7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7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7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2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8">
        <f ca="1">OFFSET(A119,-3,0)+1</f>
        <v>36</v>
      </c>
      <c r="B119" s="238">
        <f ca="1">IF($Q119&lt;&gt;2,0,IF($R119=0,1,IF(E120&gt;0,OFFSET(QCI!$M$13,SUBSTITUTE(E120,".",""),0),OFFSET(ORÇAMENTO!$AA$15,CRONO!$E119,0))/$R119))</f>
        <v>0</v>
      </c>
      <c r="C119" s="238">
        <f ca="1">IF($Q119&lt;&gt;2,0,IF($R119=0,1,IF(E120&gt;0,OFFSET(QCI!$N$13,SUBSTITUTE(E120,".",""),0),OFFSET(ORÇAMENTO!$AB$15,CRONO!$E119,0))/$R119))</f>
        <v>0</v>
      </c>
      <c r="D119" s="241" t="e">
        <f ca="1">IF(AND($Q119=2,ACOMPANHAMENTO="BM"),D120,D121/$R119)</f>
        <v>#VALUE!</v>
      </c>
      <c r="E119" s="238" t="e">
        <f ca="1">IF(A119&lt;=ORÇAMENTO.MáximoListaCrono,MATCH(A119,ORÇAMENTO.ListaCrono,0),NA())</f>
        <v>#N/A</v>
      </c>
      <c r="F119" s="238" t="str">
        <f ca="1">IF(AND($E120&lt;&gt;-1,$R119&gt;0),"F","")</f>
        <v/>
      </c>
      <c r="G119" s="242" t="str">
        <f ca="1">IF(OR(R119=0,R119=""),"Linha",IF(AND(OR(ACOMPANHAMENTO="PLE",$Q119&lt;&gt;2),$E120=0),"Linha",1-SUM(T119:AF119)))</f>
        <v>Linha</v>
      </c>
      <c r="H119" s="243" t="str">
        <f ca="1">IF($E120=0,OFFSET(ORÇAMENTO!O$15,$E119,0),IF($E120&lt;&gt;-1,OFFSET(QCI!$D$13,$E120,0),""))</f>
        <v/>
      </c>
      <c r="I119" s="244" t="str">
        <f ca="1">IF($E120=0,OFFSET(ORÇAMENTO!R$15,$E119,0),IF($E120&lt;&gt;-1,OFFSET(QCI!$G$13,$E120,0),""))</f>
        <v/>
      </c>
      <c r="J119" s="244"/>
      <c r="K119" s="244"/>
      <c r="L119" s="245">
        <f ca="1">IF($E120=0,OFFSET(ORÇAMENTO!C$15,$E119,0),1)</f>
        <v>1</v>
      </c>
      <c r="M119" s="246">
        <f ca="1">IF($E120=-1,0,IF(M$13&lt;=$L119,IF(ISERROR(MATCH(M$13,OFFSET($L119,1,0,ROW($L$164)-ROW($L119)-1),0)),ROW($L$164)-ROW($L119)-1,MATCH(M$13,OFFSET($L119,1,0,ROW($L$164)-ROW($L119)-1),0)-1),0))</f>
        <v>0</v>
      </c>
      <c r="N119" s="246">
        <f ca="1">IF($E120=-1,0,IF(N$13&lt;=$L119,IF(ISERROR(MATCH(N$13,OFFSET($L119,1,0,ROW($L$164)-ROW($L119)-1),0)),ROW($L$164)-ROW($L119)-1,MATCH(N$13,OFFSET($L119,1,0,ROW($L$164)-ROW($L119)-1),0)-1),0))</f>
        <v>0</v>
      </c>
      <c r="O119" s="246">
        <f ca="1">IF($E120=-1,0,IF(O$13&lt;=$L119,IF(ISERROR(MATCH(O$13,OFFSET($L119,1,0,ROW($L$164)-ROW($L119)-1),0)),ROW($L$164)-ROW($L119)-1,MATCH(O$13,OFFSET($L119,1,0,ROW($L$164)-ROW($L119)-1),0)-1),0))</f>
        <v>0</v>
      </c>
      <c r="P119" s="246">
        <f ca="1">IF($E120=-1,0,IF(P$13&lt;=$L119,IF(ISERROR(MATCH(P$13,OFFSET($L119,1,0,ROW($L$164)-ROW($L119)-1),0)),ROW($L$164)-ROW($L119)-1,MATCH(P$13,OFFSET($L119,1,0,ROW($L$164)-ROW($L119)-1),0)-1),0))</f>
        <v>0</v>
      </c>
      <c r="Q119" s="246">
        <f ca="1">MIN(OFFSET(L119,0,1,,L119))</f>
        <v>0</v>
      </c>
      <c r="R119" s="247" t="str">
        <f ca="1">IF($E120=0,OFFSET(ORÇAMENTO!X$15,$E119,0),IF($E120&lt;&gt;-1,OFFSET(QCI!$O$13,$E120,0),""))</f>
        <v/>
      </c>
      <c r="S119" s="248" t="s">
        <v>269</v>
      </c>
      <c r="T119" s="249" t="e">
        <f t="shared" ref="T119:AE119" ca="1" si="38">IF(AND($Q119=2,ACOMPANHAMENTO="BM"),T120,T121/$R119)</f>
        <v>#VALUE!</v>
      </c>
      <c r="U119" s="241" t="e">
        <f t="shared" ca="1" si="38"/>
        <v>#VALUE!</v>
      </c>
      <c r="V119" s="241" t="e">
        <f t="shared" ca="1" si="38"/>
        <v>#VALUE!</v>
      </c>
      <c r="W119" s="241" t="e">
        <f t="shared" ca="1" si="38"/>
        <v>#VALUE!</v>
      </c>
      <c r="X119" s="241" t="e">
        <f t="shared" ca="1" si="38"/>
        <v>#VALUE!</v>
      </c>
      <c r="Y119" s="241" t="e">
        <f t="shared" ca="1" si="38"/>
        <v>#VALUE!</v>
      </c>
      <c r="Z119" s="241" t="e">
        <f t="shared" ca="1" si="38"/>
        <v>#VALUE!</v>
      </c>
      <c r="AA119" s="241" t="e">
        <f t="shared" ca="1" si="38"/>
        <v>#VALUE!</v>
      </c>
      <c r="AB119" s="241" t="e">
        <f t="shared" ca="1" si="38"/>
        <v>#VALUE!</v>
      </c>
      <c r="AC119" s="241" t="e">
        <f t="shared" ca="1" si="38"/>
        <v>#VALUE!</v>
      </c>
      <c r="AD119" s="241" t="e">
        <f t="shared" ca="1" si="38"/>
        <v>#VALUE!</v>
      </c>
      <c r="AE119" s="250" t="e">
        <f t="shared" ca="1" si="38"/>
        <v>#VALUE!</v>
      </c>
    </row>
    <row r="120" spans="1:32" ht="12.75" hidden="1" customHeight="1" x14ac:dyDescent="0.2">
      <c r="D120" s="619"/>
      <c r="E120" s="238">
        <f ca="1">IF(ISERROR(E119),IF(1+COUNTIF($L$13:OFFSET(L119,-1,0),1)&lt;=MAX(QCI!$D$13:$D$24),1+COUNTIF($L$13:OFFSET(L119,-1,0),1),-1),0)</f>
        <v>-1</v>
      </c>
      <c r="F120" s="238" t="str">
        <f ca="1">IF(AND($E120&lt;&gt;-1,$R119&gt;0),"F","")</f>
        <v/>
      </c>
      <c r="G120" s="251" t="str">
        <f ca="1">IF(OR(R119=0,R119=""),"vazia",IF(AND(OR(ACOMPANHAMENTO="PLE",$Q119&lt;&gt;2),$E120=0),"calculada","--&gt;"))</f>
        <v>vazia</v>
      </c>
      <c r="H120" s="252"/>
      <c r="I120" s="253" t="str">
        <f ca="1">IF(AND(G119&lt;&gt;0,ISNUMBER(G119)),"PREENCHA ESTA LINHA --&gt;","")</f>
        <v/>
      </c>
      <c r="J120" s="253"/>
      <c r="K120" s="253"/>
      <c r="L120" s="254"/>
      <c r="M120" s="254"/>
      <c r="N120" s="254"/>
      <c r="O120" s="254"/>
      <c r="P120" s="254"/>
      <c r="Q120" s="254"/>
      <c r="R120" s="255"/>
      <c r="S120" s="256"/>
      <c r="T120" s="620"/>
      <c r="U120" s="619"/>
      <c r="V120" s="619"/>
      <c r="W120" s="619"/>
      <c r="X120" s="619"/>
      <c r="Y120" s="619"/>
      <c r="Z120" s="619"/>
      <c r="AA120" s="619"/>
      <c r="AB120" s="619"/>
      <c r="AC120" s="619"/>
      <c r="AD120" s="619"/>
      <c r="AE120" s="621"/>
      <c r="AF120" s="579"/>
    </row>
    <row r="121" spans="1:32" ht="0.2" hidden="1" customHeight="1" x14ac:dyDescent="0.2">
      <c r="D121" s="257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8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8"/>
      <c r="R121" s="259" t="str">
        <f ca="1">L119&amp;"$"</f>
        <v>1$</v>
      </c>
      <c r="S121" s="260"/>
      <c r="T121" s="261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7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7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7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7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7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7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7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7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7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7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2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8">
        <f ca="1">OFFSET(A122,-3,0)+1</f>
        <v>37</v>
      </c>
      <c r="B122" s="238">
        <f ca="1">IF($Q122&lt;&gt;2,0,IF($R122=0,1,IF(E123&gt;0,OFFSET(QCI!$M$13,SUBSTITUTE(E123,".",""),0),OFFSET(ORÇAMENTO!$AA$15,CRONO!$E122,0))/$R122))</f>
        <v>0</v>
      </c>
      <c r="C122" s="238">
        <f ca="1">IF($Q122&lt;&gt;2,0,IF($R122=0,1,IF(E123&gt;0,OFFSET(QCI!$N$13,SUBSTITUTE(E123,".",""),0),OFFSET(ORÇAMENTO!$AB$15,CRONO!$E122,0))/$R122))</f>
        <v>0</v>
      </c>
      <c r="D122" s="241" t="e">
        <f ca="1">IF(AND($Q122=2,ACOMPANHAMENTO="BM"),D123,D124/$R122)</f>
        <v>#VALUE!</v>
      </c>
      <c r="E122" s="238" t="e">
        <f ca="1">IF(A122&lt;=ORÇAMENTO.MáximoListaCrono,MATCH(A122,ORÇAMENTO.ListaCrono,0),NA())</f>
        <v>#N/A</v>
      </c>
      <c r="F122" s="238" t="str">
        <f ca="1">IF(AND($E123&lt;&gt;-1,$R122&gt;0),"F","")</f>
        <v/>
      </c>
      <c r="G122" s="242" t="str">
        <f ca="1">IF(OR(R122=0,R122=""),"Linha",IF(AND(OR(ACOMPANHAMENTO="PLE",$Q122&lt;&gt;2),$E123=0),"Linha",1-SUM(T122:AF122)))</f>
        <v>Linha</v>
      </c>
      <c r="H122" s="243" t="str">
        <f ca="1">IF($E123=0,OFFSET(ORÇAMENTO!O$15,$E122,0),IF($E123&lt;&gt;-1,OFFSET(QCI!$D$13,$E123,0),""))</f>
        <v/>
      </c>
      <c r="I122" s="244" t="str">
        <f ca="1">IF($E123=0,OFFSET(ORÇAMENTO!R$15,$E122,0),IF($E123&lt;&gt;-1,OFFSET(QCI!$G$13,$E123,0),""))</f>
        <v/>
      </c>
      <c r="J122" s="244"/>
      <c r="K122" s="244"/>
      <c r="L122" s="245">
        <f ca="1">IF($E123=0,OFFSET(ORÇAMENTO!C$15,$E122,0),1)</f>
        <v>1</v>
      </c>
      <c r="M122" s="246">
        <f ca="1">IF($E123=-1,0,IF(M$13&lt;=$L122,IF(ISERROR(MATCH(M$13,OFFSET($L122,1,0,ROW($L$164)-ROW($L122)-1),0)),ROW($L$164)-ROW($L122)-1,MATCH(M$13,OFFSET($L122,1,0,ROW($L$164)-ROW($L122)-1),0)-1),0))</f>
        <v>0</v>
      </c>
      <c r="N122" s="246">
        <f ca="1">IF($E123=-1,0,IF(N$13&lt;=$L122,IF(ISERROR(MATCH(N$13,OFFSET($L122,1,0,ROW($L$164)-ROW($L122)-1),0)),ROW($L$164)-ROW($L122)-1,MATCH(N$13,OFFSET($L122,1,0,ROW($L$164)-ROW($L122)-1),0)-1),0))</f>
        <v>0</v>
      </c>
      <c r="O122" s="246">
        <f ca="1">IF($E123=-1,0,IF(O$13&lt;=$L122,IF(ISERROR(MATCH(O$13,OFFSET($L122,1,0,ROW($L$164)-ROW($L122)-1),0)),ROW($L$164)-ROW($L122)-1,MATCH(O$13,OFFSET($L122,1,0,ROW($L$164)-ROW($L122)-1),0)-1),0))</f>
        <v>0</v>
      </c>
      <c r="P122" s="246">
        <f ca="1">IF($E123=-1,0,IF(P$13&lt;=$L122,IF(ISERROR(MATCH(P$13,OFFSET($L122,1,0,ROW($L$164)-ROW($L122)-1),0)),ROW($L$164)-ROW($L122)-1,MATCH(P$13,OFFSET($L122,1,0,ROW($L$164)-ROW($L122)-1),0)-1),0))</f>
        <v>0</v>
      </c>
      <c r="Q122" s="246">
        <f ca="1">MIN(OFFSET(L122,0,1,,L122))</f>
        <v>0</v>
      </c>
      <c r="R122" s="247" t="str">
        <f ca="1">IF($E123=0,OFFSET(ORÇAMENTO!X$15,$E122,0),IF($E123&lt;&gt;-1,OFFSET(QCI!$O$13,$E123,0),""))</f>
        <v/>
      </c>
      <c r="S122" s="248" t="s">
        <v>269</v>
      </c>
      <c r="T122" s="249" t="e">
        <f t="shared" ref="T122:AE122" ca="1" si="39">IF(AND($Q122=2,ACOMPANHAMENTO="BM"),T123,T124/$R122)</f>
        <v>#VALUE!</v>
      </c>
      <c r="U122" s="241" t="e">
        <f t="shared" ca="1" si="39"/>
        <v>#VALUE!</v>
      </c>
      <c r="V122" s="241" t="e">
        <f t="shared" ca="1" si="39"/>
        <v>#VALUE!</v>
      </c>
      <c r="W122" s="241" t="e">
        <f t="shared" ca="1" si="39"/>
        <v>#VALUE!</v>
      </c>
      <c r="X122" s="241" t="e">
        <f t="shared" ca="1" si="39"/>
        <v>#VALUE!</v>
      </c>
      <c r="Y122" s="241" t="e">
        <f t="shared" ca="1" si="39"/>
        <v>#VALUE!</v>
      </c>
      <c r="Z122" s="241" t="e">
        <f t="shared" ca="1" si="39"/>
        <v>#VALUE!</v>
      </c>
      <c r="AA122" s="241" t="e">
        <f t="shared" ca="1" si="39"/>
        <v>#VALUE!</v>
      </c>
      <c r="AB122" s="241" t="e">
        <f t="shared" ca="1" si="39"/>
        <v>#VALUE!</v>
      </c>
      <c r="AC122" s="241" t="e">
        <f t="shared" ca="1" si="39"/>
        <v>#VALUE!</v>
      </c>
      <c r="AD122" s="241" t="e">
        <f t="shared" ca="1" si="39"/>
        <v>#VALUE!</v>
      </c>
      <c r="AE122" s="250" t="e">
        <f t="shared" ca="1" si="39"/>
        <v>#VALUE!</v>
      </c>
    </row>
    <row r="123" spans="1:32" ht="12.75" hidden="1" customHeight="1" x14ac:dyDescent="0.2">
      <c r="D123" s="619"/>
      <c r="E123" s="238">
        <f ca="1">IF(ISERROR(E122),IF(1+COUNTIF($L$13:OFFSET(L122,-1,0),1)&lt;=MAX(QCI!$D$13:$D$24),1+COUNTIF($L$13:OFFSET(L122,-1,0),1),-1),0)</f>
        <v>-1</v>
      </c>
      <c r="F123" s="238" t="str">
        <f ca="1">IF(AND($E123&lt;&gt;-1,$R122&gt;0),"F","")</f>
        <v/>
      </c>
      <c r="G123" s="251" t="str">
        <f ca="1">IF(OR(R122=0,R122=""),"vazia",IF(AND(OR(ACOMPANHAMENTO="PLE",$Q122&lt;&gt;2),$E123=0),"calculada","--&gt;"))</f>
        <v>vazia</v>
      </c>
      <c r="H123" s="252"/>
      <c r="I123" s="253" t="str">
        <f ca="1">IF(AND(G122&lt;&gt;0,ISNUMBER(G122)),"PREENCHA ESTA LINHA --&gt;","")</f>
        <v/>
      </c>
      <c r="J123" s="253"/>
      <c r="K123" s="253"/>
      <c r="L123" s="254"/>
      <c r="M123" s="254"/>
      <c r="N123" s="254"/>
      <c r="O123" s="254"/>
      <c r="P123" s="254"/>
      <c r="Q123" s="254"/>
      <c r="R123" s="255"/>
      <c r="S123" s="256"/>
      <c r="T123" s="620"/>
      <c r="U123" s="619"/>
      <c r="V123" s="619"/>
      <c r="W123" s="619"/>
      <c r="X123" s="619"/>
      <c r="Y123" s="619"/>
      <c r="Z123" s="619"/>
      <c r="AA123" s="619"/>
      <c r="AB123" s="619"/>
      <c r="AC123" s="619"/>
      <c r="AD123" s="619"/>
      <c r="AE123" s="621"/>
      <c r="AF123" s="579"/>
    </row>
    <row r="124" spans="1:32" ht="0.2" hidden="1" customHeight="1" x14ac:dyDescent="0.2">
      <c r="D124" s="257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8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8"/>
      <c r="R124" s="259" t="str">
        <f ca="1">L122&amp;"$"</f>
        <v>1$</v>
      </c>
      <c r="S124" s="260"/>
      <c r="T124" s="261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7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7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7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7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7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7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7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7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7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7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2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8">
        <f ca="1">OFFSET(A125,-3,0)+1</f>
        <v>38</v>
      </c>
      <c r="B125" s="238">
        <f ca="1">IF($Q125&lt;&gt;2,0,IF($R125=0,1,IF(E126&gt;0,OFFSET(QCI!$M$13,SUBSTITUTE(E126,".",""),0),OFFSET(ORÇAMENTO!$AA$15,CRONO!$E125,0))/$R125))</f>
        <v>0</v>
      </c>
      <c r="C125" s="238">
        <f ca="1">IF($Q125&lt;&gt;2,0,IF($R125=0,1,IF(E126&gt;0,OFFSET(QCI!$N$13,SUBSTITUTE(E126,".",""),0),OFFSET(ORÇAMENTO!$AB$15,CRONO!$E125,0))/$R125))</f>
        <v>0</v>
      </c>
      <c r="D125" s="241" t="e">
        <f ca="1">IF(AND($Q125=2,ACOMPANHAMENTO="BM"),D126,D127/$R125)</f>
        <v>#VALUE!</v>
      </c>
      <c r="E125" s="238" t="e">
        <f ca="1">IF(A125&lt;=ORÇAMENTO.MáximoListaCrono,MATCH(A125,ORÇAMENTO.ListaCrono,0),NA())</f>
        <v>#N/A</v>
      </c>
      <c r="F125" s="238" t="str">
        <f ca="1">IF(AND($E126&lt;&gt;-1,$R125&gt;0),"F","")</f>
        <v/>
      </c>
      <c r="G125" s="242" t="str">
        <f ca="1">IF(OR(R125=0,R125=""),"Linha",IF(AND(OR(ACOMPANHAMENTO="PLE",$Q125&lt;&gt;2),$E126=0),"Linha",1-SUM(T125:AF125)))</f>
        <v>Linha</v>
      </c>
      <c r="H125" s="243" t="str">
        <f ca="1">IF($E126=0,OFFSET(ORÇAMENTO!O$15,$E125,0),IF($E126&lt;&gt;-1,OFFSET(QCI!$D$13,$E126,0),""))</f>
        <v/>
      </c>
      <c r="I125" s="244" t="str">
        <f ca="1">IF($E126=0,OFFSET(ORÇAMENTO!R$15,$E125,0),IF($E126&lt;&gt;-1,OFFSET(QCI!$G$13,$E126,0),""))</f>
        <v/>
      </c>
      <c r="J125" s="244"/>
      <c r="K125" s="244"/>
      <c r="L125" s="245">
        <f ca="1">IF($E126=0,OFFSET(ORÇAMENTO!C$15,$E125,0),1)</f>
        <v>1</v>
      </c>
      <c r="M125" s="246">
        <f ca="1">IF($E126=-1,0,IF(M$13&lt;=$L125,IF(ISERROR(MATCH(M$13,OFFSET($L125,1,0,ROW($L$164)-ROW($L125)-1),0)),ROW($L$164)-ROW($L125)-1,MATCH(M$13,OFFSET($L125,1,0,ROW($L$164)-ROW($L125)-1),0)-1),0))</f>
        <v>0</v>
      </c>
      <c r="N125" s="246">
        <f ca="1">IF($E126=-1,0,IF(N$13&lt;=$L125,IF(ISERROR(MATCH(N$13,OFFSET($L125,1,0,ROW($L$164)-ROW($L125)-1),0)),ROW($L$164)-ROW($L125)-1,MATCH(N$13,OFFSET($L125,1,0,ROW($L$164)-ROW($L125)-1),0)-1),0))</f>
        <v>0</v>
      </c>
      <c r="O125" s="246">
        <f ca="1">IF($E126=-1,0,IF(O$13&lt;=$L125,IF(ISERROR(MATCH(O$13,OFFSET($L125,1,0,ROW($L$164)-ROW($L125)-1),0)),ROW($L$164)-ROW($L125)-1,MATCH(O$13,OFFSET($L125,1,0,ROW($L$164)-ROW($L125)-1),0)-1),0))</f>
        <v>0</v>
      </c>
      <c r="P125" s="246">
        <f ca="1">IF($E126=-1,0,IF(P$13&lt;=$L125,IF(ISERROR(MATCH(P$13,OFFSET($L125,1,0,ROW($L$164)-ROW($L125)-1),0)),ROW($L$164)-ROW($L125)-1,MATCH(P$13,OFFSET($L125,1,0,ROW($L$164)-ROW($L125)-1),0)-1),0))</f>
        <v>0</v>
      </c>
      <c r="Q125" s="246">
        <f ca="1">MIN(OFFSET(L125,0,1,,L125))</f>
        <v>0</v>
      </c>
      <c r="R125" s="247" t="str">
        <f ca="1">IF($E126=0,OFFSET(ORÇAMENTO!X$15,$E125,0),IF($E126&lt;&gt;-1,OFFSET(QCI!$O$13,$E126,0),""))</f>
        <v/>
      </c>
      <c r="S125" s="248" t="s">
        <v>269</v>
      </c>
      <c r="T125" s="249" t="e">
        <f t="shared" ref="T125:AE125" ca="1" si="40">IF(AND($Q125=2,ACOMPANHAMENTO="BM"),T126,T127/$R125)</f>
        <v>#VALUE!</v>
      </c>
      <c r="U125" s="241" t="e">
        <f t="shared" ca="1" si="40"/>
        <v>#VALUE!</v>
      </c>
      <c r="V125" s="241" t="e">
        <f t="shared" ca="1" si="40"/>
        <v>#VALUE!</v>
      </c>
      <c r="W125" s="241" t="e">
        <f t="shared" ca="1" si="40"/>
        <v>#VALUE!</v>
      </c>
      <c r="X125" s="241" t="e">
        <f t="shared" ca="1" si="40"/>
        <v>#VALUE!</v>
      </c>
      <c r="Y125" s="241" t="e">
        <f t="shared" ca="1" si="40"/>
        <v>#VALUE!</v>
      </c>
      <c r="Z125" s="241" t="e">
        <f t="shared" ca="1" si="40"/>
        <v>#VALUE!</v>
      </c>
      <c r="AA125" s="241" t="e">
        <f t="shared" ca="1" si="40"/>
        <v>#VALUE!</v>
      </c>
      <c r="AB125" s="241" t="e">
        <f t="shared" ca="1" si="40"/>
        <v>#VALUE!</v>
      </c>
      <c r="AC125" s="241" t="e">
        <f t="shared" ca="1" si="40"/>
        <v>#VALUE!</v>
      </c>
      <c r="AD125" s="241" t="e">
        <f t="shared" ca="1" si="40"/>
        <v>#VALUE!</v>
      </c>
      <c r="AE125" s="250" t="e">
        <f t="shared" ca="1" si="40"/>
        <v>#VALUE!</v>
      </c>
    </row>
    <row r="126" spans="1:32" ht="12.75" hidden="1" customHeight="1" x14ac:dyDescent="0.2">
      <c r="D126" s="619"/>
      <c r="E126" s="238">
        <f ca="1">IF(ISERROR(E125),IF(1+COUNTIF($L$13:OFFSET(L125,-1,0),1)&lt;=MAX(QCI!$D$13:$D$24),1+COUNTIF($L$13:OFFSET(L125,-1,0),1),-1),0)</f>
        <v>-1</v>
      </c>
      <c r="F126" s="238" t="str">
        <f ca="1">IF(AND($E126&lt;&gt;-1,$R125&gt;0),"F","")</f>
        <v/>
      </c>
      <c r="G126" s="251" t="str">
        <f ca="1">IF(OR(R125=0,R125=""),"vazia",IF(AND(OR(ACOMPANHAMENTO="PLE",$Q125&lt;&gt;2),$E126=0),"calculada","--&gt;"))</f>
        <v>vazia</v>
      </c>
      <c r="H126" s="252"/>
      <c r="I126" s="253" t="str">
        <f ca="1">IF(AND(G125&lt;&gt;0,ISNUMBER(G125)),"PREENCHA ESTA LINHA --&gt;","")</f>
        <v/>
      </c>
      <c r="J126" s="253"/>
      <c r="K126" s="253"/>
      <c r="L126" s="254"/>
      <c r="M126" s="254"/>
      <c r="N126" s="254"/>
      <c r="O126" s="254"/>
      <c r="P126" s="254"/>
      <c r="Q126" s="254"/>
      <c r="R126" s="255"/>
      <c r="S126" s="256"/>
      <c r="T126" s="620"/>
      <c r="U126" s="619"/>
      <c r="V126" s="619"/>
      <c r="W126" s="619"/>
      <c r="X126" s="619"/>
      <c r="Y126" s="619"/>
      <c r="Z126" s="619"/>
      <c r="AA126" s="619"/>
      <c r="AB126" s="619"/>
      <c r="AC126" s="619"/>
      <c r="AD126" s="619"/>
      <c r="AE126" s="621"/>
      <c r="AF126" s="579"/>
    </row>
    <row r="127" spans="1:32" ht="0.2" hidden="1" customHeight="1" x14ac:dyDescent="0.2">
      <c r="D127" s="257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8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8"/>
      <c r="R127" s="259" t="str">
        <f ca="1">L125&amp;"$"</f>
        <v>1$</v>
      </c>
      <c r="S127" s="260"/>
      <c r="T127" s="261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7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7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7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7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7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7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7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7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7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7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2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8">
        <f ca="1">OFFSET(A128,-3,0)+1</f>
        <v>39</v>
      </c>
      <c r="B128" s="238">
        <f ca="1">IF($Q128&lt;&gt;2,0,IF($R128=0,1,IF(E129&gt;0,OFFSET(QCI!$M$13,SUBSTITUTE(E129,".",""),0),OFFSET(ORÇAMENTO!$AA$15,CRONO!$E128,0))/$R128))</f>
        <v>0</v>
      </c>
      <c r="C128" s="238">
        <f ca="1">IF($Q128&lt;&gt;2,0,IF($R128=0,1,IF(E129&gt;0,OFFSET(QCI!$N$13,SUBSTITUTE(E129,".",""),0),OFFSET(ORÇAMENTO!$AB$15,CRONO!$E128,0))/$R128))</f>
        <v>0</v>
      </c>
      <c r="D128" s="241" t="e">
        <f ca="1">IF(AND($Q128=2,ACOMPANHAMENTO="BM"),D129,D130/$R128)</f>
        <v>#VALUE!</v>
      </c>
      <c r="E128" s="238" t="e">
        <f ca="1">IF(A128&lt;=ORÇAMENTO.MáximoListaCrono,MATCH(A128,ORÇAMENTO.ListaCrono,0),NA())</f>
        <v>#N/A</v>
      </c>
      <c r="F128" s="238" t="str">
        <f ca="1">IF(AND($E129&lt;&gt;-1,$R128&gt;0),"F","")</f>
        <v/>
      </c>
      <c r="G128" s="242" t="str">
        <f ca="1">IF(OR(R128=0,R128=""),"Linha",IF(AND(OR(ACOMPANHAMENTO="PLE",$Q128&lt;&gt;2),$E129=0),"Linha",1-SUM(T128:AF128)))</f>
        <v>Linha</v>
      </c>
      <c r="H128" s="243" t="str">
        <f ca="1">IF($E129=0,OFFSET(ORÇAMENTO!O$15,$E128,0),IF($E129&lt;&gt;-1,OFFSET(QCI!$D$13,$E129,0),""))</f>
        <v/>
      </c>
      <c r="I128" s="244" t="str">
        <f ca="1">IF($E129=0,OFFSET(ORÇAMENTO!R$15,$E128,0),IF($E129&lt;&gt;-1,OFFSET(QCI!$G$13,$E129,0),""))</f>
        <v/>
      </c>
      <c r="J128" s="244"/>
      <c r="K128" s="244"/>
      <c r="L128" s="245">
        <f ca="1">IF($E129=0,OFFSET(ORÇAMENTO!C$15,$E128,0),1)</f>
        <v>1</v>
      </c>
      <c r="M128" s="246">
        <f ca="1">IF($E129=-1,0,IF(M$13&lt;=$L128,IF(ISERROR(MATCH(M$13,OFFSET($L128,1,0,ROW($L$164)-ROW($L128)-1),0)),ROW($L$164)-ROW($L128)-1,MATCH(M$13,OFFSET($L128,1,0,ROW($L$164)-ROW($L128)-1),0)-1),0))</f>
        <v>0</v>
      </c>
      <c r="N128" s="246">
        <f ca="1">IF($E129=-1,0,IF(N$13&lt;=$L128,IF(ISERROR(MATCH(N$13,OFFSET($L128,1,0,ROW($L$164)-ROW($L128)-1),0)),ROW($L$164)-ROW($L128)-1,MATCH(N$13,OFFSET($L128,1,0,ROW($L$164)-ROW($L128)-1),0)-1),0))</f>
        <v>0</v>
      </c>
      <c r="O128" s="246">
        <f ca="1">IF($E129=-1,0,IF(O$13&lt;=$L128,IF(ISERROR(MATCH(O$13,OFFSET($L128,1,0,ROW($L$164)-ROW($L128)-1),0)),ROW($L$164)-ROW($L128)-1,MATCH(O$13,OFFSET($L128,1,0,ROW($L$164)-ROW($L128)-1),0)-1),0))</f>
        <v>0</v>
      </c>
      <c r="P128" s="246">
        <f ca="1">IF($E129=-1,0,IF(P$13&lt;=$L128,IF(ISERROR(MATCH(P$13,OFFSET($L128,1,0,ROW($L$164)-ROW($L128)-1),0)),ROW($L$164)-ROW($L128)-1,MATCH(P$13,OFFSET($L128,1,0,ROW($L$164)-ROW($L128)-1),0)-1),0))</f>
        <v>0</v>
      </c>
      <c r="Q128" s="246">
        <f ca="1">MIN(OFFSET(L128,0,1,,L128))</f>
        <v>0</v>
      </c>
      <c r="R128" s="247" t="str">
        <f ca="1">IF($E129=0,OFFSET(ORÇAMENTO!X$15,$E128,0),IF($E129&lt;&gt;-1,OFFSET(QCI!$O$13,$E129,0),""))</f>
        <v/>
      </c>
      <c r="S128" s="248" t="s">
        <v>269</v>
      </c>
      <c r="T128" s="249" t="e">
        <f t="shared" ref="T128:AE128" ca="1" si="41">IF(AND($Q128=2,ACOMPANHAMENTO="BM"),T129,T130/$R128)</f>
        <v>#VALUE!</v>
      </c>
      <c r="U128" s="241" t="e">
        <f t="shared" ca="1" si="41"/>
        <v>#VALUE!</v>
      </c>
      <c r="V128" s="241" t="e">
        <f t="shared" ca="1" si="41"/>
        <v>#VALUE!</v>
      </c>
      <c r="W128" s="241" t="e">
        <f t="shared" ca="1" si="41"/>
        <v>#VALUE!</v>
      </c>
      <c r="X128" s="241" t="e">
        <f t="shared" ca="1" si="41"/>
        <v>#VALUE!</v>
      </c>
      <c r="Y128" s="241" t="e">
        <f t="shared" ca="1" si="41"/>
        <v>#VALUE!</v>
      </c>
      <c r="Z128" s="241" t="e">
        <f t="shared" ca="1" si="41"/>
        <v>#VALUE!</v>
      </c>
      <c r="AA128" s="241" t="e">
        <f t="shared" ca="1" si="41"/>
        <v>#VALUE!</v>
      </c>
      <c r="AB128" s="241" t="e">
        <f t="shared" ca="1" si="41"/>
        <v>#VALUE!</v>
      </c>
      <c r="AC128" s="241" t="e">
        <f t="shared" ca="1" si="41"/>
        <v>#VALUE!</v>
      </c>
      <c r="AD128" s="241" t="e">
        <f t="shared" ca="1" si="41"/>
        <v>#VALUE!</v>
      </c>
      <c r="AE128" s="250" t="e">
        <f t="shared" ca="1" si="41"/>
        <v>#VALUE!</v>
      </c>
    </row>
    <row r="129" spans="1:32" ht="12.75" hidden="1" customHeight="1" x14ac:dyDescent="0.2">
      <c r="D129" s="619"/>
      <c r="E129" s="238">
        <f ca="1">IF(ISERROR(E128),IF(1+COUNTIF($L$13:OFFSET(L128,-1,0),1)&lt;=MAX(QCI!$D$13:$D$24),1+COUNTIF($L$13:OFFSET(L128,-1,0),1),-1),0)</f>
        <v>-1</v>
      </c>
      <c r="F129" s="238" t="str">
        <f ca="1">IF(AND($E129&lt;&gt;-1,$R128&gt;0),"F","")</f>
        <v/>
      </c>
      <c r="G129" s="251" t="str">
        <f ca="1">IF(OR(R128=0,R128=""),"vazia",IF(AND(OR(ACOMPANHAMENTO="PLE",$Q128&lt;&gt;2),$E129=0),"calculada","--&gt;"))</f>
        <v>vazia</v>
      </c>
      <c r="H129" s="252"/>
      <c r="I129" s="253" t="str">
        <f ca="1">IF(AND(G128&lt;&gt;0,ISNUMBER(G128)),"PREENCHA ESTA LINHA --&gt;","")</f>
        <v/>
      </c>
      <c r="J129" s="253"/>
      <c r="K129" s="253"/>
      <c r="L129" s="254"/>
      <c r="M129" s="254"/>
      <c r="N129" s="254"/>
      <c r="O129" s="254"/>
      <c r="P129" s="254"/>
      <c r="Q129" s="254"/>
      <c r="R129" s="255"/>
      <c r="S129" s="256"/>
      <c r="T129" s="620"/>
      <c r="U129" s="619"/>
      <c r="V129" s="619"/>
      <c r="W129" s="619"/>
      <c r="X129" s="619"/>
      <c r="Y129" s="619"/>
      <c r="Z129" s="619"/>
      <c r="AA129" s="619"/>
      <c r="AB129" s="619"/>
      <c r="AC129" s="619"/>
      <c r="AD129" s="619"/>
      <c r="AE129" s="621"/>
      <c r="AF129" s="579"/>
    </row>
    <row r="130" spans="1:32" ht="0.2" hidden="1" customHeight="1" x14ac:dyDescent="0.2">
      <c r="D130" s="257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8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8"/>
      <c r="R130" s="259" t="str">
        <f ca="1">L128&amp;"$"</f>
        <v>1$</v>
      </c>
      <c r="S130" s="260"/>
      <c r="T130" s="261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7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7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7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7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7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7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7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7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7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7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2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8">
        <f ca="1">OFFSET(A131,-3,0)+1</f>
        <v>40</v>
      </c>
      <c r="B131" s="238">
        <f ca="1">IF($Q131&lt;&gt;2,0,IF($R131=0,1,IF(E132&gt;0,OFFSET(QCI!$M$13,SUBSTITUTE(E132,".",""),0),OFFSET(ORÇAMENTO!$AA$15,CRONO!$E131,0))/$R131))</f>
        <v>0</v>
      </c>
      <c r="C131" s="238">
        <f ca="1">IF($Q131&lt;&gt;2,0,IF($R131=0,1,IF(E132&gt;0,OFFSET(QCI!$N$13,SUBSTITUTE(E132,".",""),0),OFFSET(ORÇAMENTO!$AB$15,CRONO!$E131,0))/$R131))</f>
        <v>0</v>
      </c>
      <c r="D131" s="241" t="e">
        <f ca="1">IF(AND($Q131=2,ACOMPANHAMENTO="BM"),D132,D133/$R131)</f>
        <v>#VALUE!</v>
      </c>
      <c r="E131" s="238" t="e">
        <f ca="1">IF(A131&lt;=ORÇAMENTO.MáximoListaCrono,MATCH(A131,ORÇAMENTO.ListaCrono,0),NA())</f>
        <v>#N/A</v>
      </c>
      <c r="F131" s="238" t="str">
        <f ca="1">IF(AND($E132&lt;&gt;-1,$R131&gt;0),"F","")</f>
        <v/>
      </c>
      <c r="G131" s="242" t="str">
        <f ca="1">IF(OR(R131=0,R131=""),"Linha",IF(AND(OR(ACOMPANHAMENTO="PLE",$Q131&lt;&gt;2),$E132=0),"Linha",1-SUM(T131:AF131)))</f>
        <v>Linha</v>
      </c>
      <c r="H131" s="243" t="str">
        <f ca="1">IF($E132=0,OFFSET(ORÇAMENTO!O$15,$E131,0),IF($E132&lt;&gt;-1,OFFSET(QCI!$D$13,$E132,0),""))</f>
        <v/>
      </c>
      <c r="I131" s="244" t="str">
        <f ca="1">IF($E132=0,OFFSET(ORÇAMENTO!R$15,$E131,0),IF($E132&lt;&gt;-1,OFFSET(QCI!$G$13,$E132,0),""))</f>
        <v/>
      </c>
      <c r="J131" s="244"/>
      <c r="K131" s="244"/>
      <c r="L131" s="245">
        <f ca="1">IF($E132=0,OFFSET(ORÇAMENTO!C$15,$E131,0),1)</f>
        <v>1</v>
      </c>
      <c r="M131" s="246">
        <f ca="1">IF($E132=-1,0,IF(M$13&lt;=$L131,IF(ISERROR(MATCH(M$13,OFFSET($L131,1,0,ROW($L$164)-ROW($L131)-1),0)),ROW($L$164)-ROW($L131)-1,MATCH(M$13,OFFSET($L131,1,0,ROW($L$164)-ROW($L131)-1),0)-1),0))</f>
        <v>0</v>
      </c>
      <c r="N131" s="246">
        <f ca="1">IF($E132=-1,0,IF(N$13&lt;=$L131,IF(ISERROR(MATCH(N$13,OFFSET($L131,1,0,ROW($L$164)-ROW($L131)-1),0)),ROW($L$164)-ROW($L131)-1,MATCH(N$13,OFFSET($L131,1,0,ROW($L$164)-ROW($L131)-1),0)-1),0))</f>
        <v>0</v>
      </c>
      <c r="O131" s="246">
        <f ca="1">IF($E132=-1,0,IF(O$13&lt;=$L131,IF(ISERROR(MATCH(O$13,OFFSET($L131,1,0,ROW($L$164)-ROW($L131)-1),0)),ROW($L$164)-ROW($L131)-1,MATCH(O$13,OFFSET($L131,1,0,ROW($L$164)-ROW($L131)-1),0)-1),0))</f>
        <v>0</v>
      </c>
      <c r="P131" s="246">
        <f ca="1">IF($E132=-1,0,IF(P$13&lt;=$L131,IF(ISERROR(MATCH(P$13,OFFSET($L131,1,0,ROW($L$164)-ROW($L131)-1),0)),ROW($L$164)-ROW($L131)-1,MATCH(P$13,OFFSET($L131,1,0,ROW($L$164)-ROW($L131)-1),0)-1),0))</f>
        <v>0</v>
      </c>
      <c r="Q131" s="246">
        <f ca="1">MIN(OFFSET(L131,0,1,,L131))</f>
        <v>0</v>
      </c>
      <c r="R131" s="247" t="str">
        <f ca="1">IF($E132=0,OFFSET(ORÇAMENTO!X$15,$E131,0),IF($E132&lt;&gt;-1,OFFSET(QCI!$O$13,$E132,0),""))</f>
        <v/>
      </c>
      <c r="S131" s="248" t="s">
        <v>269</v>
      </c>
      <c r="T131" s="249" t="e">
        <f t="shared" ref="T131:AE131" ca="1" si="42">IF(AND($Q131=2,ACOMPANHAMENTO="BM"),T132,T133/$R131)</f>
        <v>#VALUE!</v>
      </c>
      <c r="U131" s="241" t="e">
        <f t="shared" ca="1" si="42"/>
        <v>#VALUE!</v>
      </c>
      <c r="V131" s="241" t="e">
        <f t="shared" ca="1" si="42"/>
        <v>#VALUE!</v>
      </c>
      <c r="W131" s="241" t="e">
        <f t="shared" ca="1" si="42"/>
        <v>#VALUE!</v>
      </c>
      <c r="X131" s="241" t="e">
        <f t="shared" ca="1" si="42"/>
        <v>#VALUE!</v>
      </c>
      <c r="Y131" s="241" t="e">
        <f t="shared" ca="1" si="42"/>
        <v>#VALUE!</v>
      </c>
      <c r="Z131" s="241" t="e">
        <f t="shared" ca="1" si="42"/>
        <v>#VALUE!</v>
      </c>
      <c r="AA131" s="241" t="e">
        <f t="shared" ca="1" si="42"/>
        <v>#VALUE!</v>
      </c>
      <c r="AB131" s="241" t="e">
        <f t="shared" ca="1" si="42"/>
        <v>#VALUE!</v>
      </c>
      <c r="AC131" s="241" t="e">
        <f t="shared" ca="1" si="42"/>
        <v>#VALUE!</v>
      </c>
      <c r="AD131" s="241" t="e">
        <f t="shared" ca="1" si="42"/>
        <v>#VALUE!</v>
      </c>
      <c r="AE131" s="250" t="e">
        <f t="shared" ca="1" si="42"/>
        <v>#VALUE!</v>
      </c>
    </row>
    <row r="132" spans="1:32" ht="12.75" hidden="1" customHeight="1" x14ac:dyDescent="0.2">
      <c r="D132" s="619"/>
      <c r="E132" s="238">
        <f ca="1">IF(ISERROR(E131),IF(1+COUNTIF($L$13:OFFSET(L131,-1,0),1)&lt;=MAX(QCI!$D$13:$D$24),1+COUNTIF($L$13:OFFSET(L131,-1,0),1),-1),0)</f>
        <v>-1</v>
      </c>
      <c r="F132" s="238" t="str">
        <f ca="1">IF(AND($E132&lt;&gt;-1,$R131&gt;0),"F","")</f>
        <v/>
      </c>
      <c r="G132" s="251" t="str">
        <f ca="1">IF(OR(R131=0,R131=""),"vazia",IF(AND(OR(ACOMPANHAMENTO="PLE",$Q131&lt;&gt;2),$E132=0),"calculada","--&gt;"))</f>
        <v>vazia</v>
      </c>
      <c r="H132" s="252"/>
      <c r="I132" s="253" t="str">
        <f ca="1">IF(AND(G131&lt;&gt;0,ISNUMBER(G131)),"PREENCHA ESTA LINHA --&gt;","")</f>
        <v/>
      </c>
      <c r="J132" s="253"/>
      <c r="K132" s="253"/>
      <c r="L132" s="254"/>
      <c r="M132" s="254"/>
      <c r="N132" s="254"/>
      <c r="O132" s="254"/>
      <c r="P132" s="254"/>
      <c r="Q132" s="254"/>
      <c r="R132" s="255"/>
      <c r="S132" s="256"/>
      <c r="T132" s="620"/>
      <c r="U132" s="619"/>
      <c r="V132" s="619"/>
      <c r="W132" s="619"/>
      <c r="X132" s="619"/>
      <c r="Y132" s="619"/>
      <c r="Z132" s="619"/>
      <c r="AA132" s="619"/>
      <c r="AB132" s="619"/>
      <c r="AC132" s="619"/>
      <c r="AD132" s="619"/>
      <c r="AE132" s="621"/>
      <c r="AF132" s="579"/>
    </row>
    <row r="133" spans="1:32" ht="0.2" hidden="1" customHeight="1" x14ac:dyDescent="0.2">
      <c r="D133" s="257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8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8"/>
      <c r="R133" s="259" t="str">
        <f ca="1">L131&amp;"$"</f>
        <v>1$</v>
      </c>
      <c r="S133" s="260"/>
      <c r="T133" s="261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7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7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7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7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7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7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7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7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7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7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2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8">
        <f ca="1">OFFSET(A134,-3,0)+1</f>
        <v>41</v>
      </c>
      <c r="B134" s="238">
        <f ca="1">IF($Q134&lt;&gt;2,0,IF($R134=0,1,IF(E135&gt;0,OFFSET(QCI!$M$13,SUBSTITUTE(E135,".",""),0),OFFSET(ORÇAMENTO!$AA$15,CRONO!$E134,0))/$R134))</f>
        <v>0</v>
      </c>
      <c r="C134" s="238">
        <f ca="1">IF($Q134&lt;&gt;2,0,IF($R134=0,1,IF(E135&gt;0,OFFSET(QCI!$N$13,SUBSTITUTE(E135,".",""),0),OFFSET(ORÇAMENTO!$AB$15,CRONO!$E134,0))/$R134))</f>
        <v>0</v>
      </c>
      <c r="D134" s="241" t="e">
        <f ca="1">IF(AND($Q134=2,ACOMPANHAMENTO="BM"),D135,D136/$R134)</f>
        <v>#VALUE!</v>
      </c>
      <c r="E134" s="238" t="e">
        <f ca="1">IF(A134&lt;=ORÇAMENTO.MáximoListaCrono,MATCH(A134,ORÇAMENTO.ListaCrono,0),NA())</f>
        <v>#N/A</v>
      </c>
      <c r="F134" s="238" t="str">
        <f ca="1">IF(AND($E135&lt;&gt;-1,$R134&gt;0),"F","")</f>
        <v/>
      </c>
      <c r="G134" s="242" t="str">
        <f ca="1">IF(OR(R134=0,R134=""),"Linha",IF(AND(OR(ACOMPANHAMENTO="PLE",$Q134&lt;&gt;2),$E135=0),"Linha",1-SUM(T134:AF134)))</f>
        <v>Linha</v>
      </c>
      <c r="H134" s="243" t="str">
        <f ca="1">IF($E135=0,OFFSET(ORÇAMENTO!O$15,$E134,0),IF($E135&lt;&gt;-1,OFFSET(QCI!$D$13,$E135,0),""))</f>
        <v/>
      </c>
      <c r="I134" s="244" t="str">
        <f ca="1">IF($E135=0,OFFSET(ORÇAMENTO!R$15,$E134,0),IF($E135&lt;&gt;-1,OFFSET(QCI!$G$13,$E135,0),""))</f>
        <v/>
      </c>
      <c r="J134" s="244"/>
      <c r="K134" s="244"/>
      <c r="L134" s="245">
        <f ca="1">IF($E135=0,OFFSET(ORÇAMENTO!C$15,$E134,0),1)</f>
        <v>1</v>
      </c>
      <c r="M134" s="246">
        <f ca="1">IF($E135=-1,0,IF(M$13&lt;=$L134,IF(ISERROR(MATCH(M$13,OFFSET($L134,1,0,ROW($L$164)-ROW($L134)-1),0)),ROW($L$164)-ROW($L134)-1,MATCH(M$13,OFFSET($L134,1,0,ROW($L$164)-ROW($L134)-1),0)-1),0))</f>
        <v>0</v>
      </c>
      <c r="N134" s="246">
        <f ca="1">IF($E135=-1,0,IF(N$13&lt;=$L134,IF(ISERROR(MATCH(N$13,OFFSET($L134,1,0,ROW($L$164)-ROW($L134)-1),0)),ROW($L$164)-ROW($L134)-1,MATCH(N$13,OFFSET($L134,1,0,ROW($L$164)-ROW($L134)-1),0)-1),0))</f>
        <v>0</v>
      </c>
      <c r="O134" s="246">
        <f ca="1">IF($E135=-1,0,IF(O$13&lt;=$L134,IF(ISERROR(MATCH(O$13,OFFSET($L134,1,0,ROW($L$164)-ROW($L134)-1),0)),ROW($L$164)-ROW($L134)-1,MATCH(O$13,OFFSET($L134,1,0,ROW($L$164)-ROW($L134)-1),0)-1),0))</f>
        <v>0</v>
      </c>
      <c r="P134" s="246">
        <f ca="1">IF($E135=-1,0,IF(P$13&lt;=$L134,IF(ISERROR(MATCH(P$13,OFFSET($L134,1,0,ROW($L$164)-ROW($L134)-1),0)),ROW($L$164)-ROW($L134)-1,MATCH(P$13,OFFSET($L134,1,0,ROW($L$164)-ROW($L134)-1),0)-1),0))</f>
        <v>0</v>
      </c>
      <c r="Q134" s="246">
        <f ca="1">MIN(OFFSET(L134,0,1,,L134))</f>
        <v>0</v>
      </c>
      <c r="R134" s="247" t="str">
        <f ca="1">IF($E135=0,OFFSET(ORÇAMENTO!X$15,$E134,0),IF($E135&lt;&gt;-1,OFFSET(QCI!$O$13,$E135,0),""))</f>
        <v/>
      </c>
      <c r="S134" s="248" t="s">
        <v>269</v>
      </c>
      <c r="T134" s="249" t="e">
        <f t="shared" ref="T134:AE134" ca="1" si="43">IF(AND($Q134=2,ACOMPANHAMENTO="BM"),T135,T136/$R134)</f>
        <v>#VALUE!</v>
      </c>
      <c r="U134" s="241" t="e">
        <f t="shared" ca="1" si="43"/>
        <v>#VALUE!</v>
      </c>
      <c r="V134" s="241" t="e">
        <f t="shared" ca="1" si="43"/>
        <v>#VALUE!</v>
      </c>
      <c r="W134" s="241" t="e">
        <f t="shared" ca="1" si="43"/>
        <v>#VALUE!</v>
      </c>
      <c r="X134" s="241" t="e">
        <f t="shared" ca="1" si="43"/>
        <v>#VALUE!</v>
      </c>
      <c r="Y134" s="241" t="e">
        <f t="shared" ca="1" si="43"/>
        <v>#VALUE!</v>
      </c>
      <c r="Z134" s="241" t="e">
        <f t="shared" ca="1" si="43"/>
        <v>#VALUE!</v>
      </c>
      <c r="AA134" s="241" t="e">
        <f t="shared" ca="1" si="43"/>
        <v>#VALUE!</v>
      </c>
      <c r="AB134" s="241" t="e">
        <f t="shared" ca="1" si="43"/>
        <v>#VALUE!</v>
      </c>
      <c r="AC134" s="241" t="e">
        <f t="shared" ca="1" si="43"/>
        <v>#VALUE!</v>
      </c>
      <c r="AD134" s="241" t="e">
        <f t="shared" ca="1" si="43"/>
        <v>#VALUE!</v>
      </c>
      <c r="AE134" s="250" t="e">
        <f t="shared" ca="1" si="43"/>
        <v>#VALUE!</v>
      </c>
    </row>
    <row r="135" spans="1:32" ht="12.75" hidden="1" customHeight="1" x14ac:dyDescent="0.2">
      <c r="D135" s="619"/>
      <c r="E135" s="238">
        <f ca="1">IF(ISERROR(E134),IF(1+COUNTIF($L$13:OFFSET(L134,-1,0),1)&lt;=MAX(QCI!$D$13:$D$24),1+COUNTIF($L$13:OFFSET(L134,-1,0),1),-1),0)</f>
        <v>-1</v>
      </c>
      <c r="F135" s="238" t="str">
        <f ca="1">IF(AND($E135&lt;&gt;-1,$R134&gt;0),"F","")</f>
        <v/>
      </c>
      <c r="G135" s="251" t="str">
        <f ca="1">IF(OR(R134=0,R134=""),"vazia",IF(AND(OR(ACOMPANHAMENTO="PLE",$Q134&lt;&gt;2),$E135=0),"calculada","--&gt;"))</f>
        <v>vazia</v>
      </c>
      <c r="H135" s="252"/>
      <c r="I135" s="253" t="str">
        <f ca="1">IF(AND(G134&lt;&gt;0,ISNUMBER(G134)),"PREENCHA ESTA LINHA --&gt;","")</f>
        <v/>
      </c>
      <c r="J135" s="253"/>
      <c r="K135" s="253"/>
      <c r="L135" s="254"/>
      <c r="M135" s="254"/>
      <c r="N135" s="254"/>
      <c r="O135" s="254"/>
      <c r="P135" s="254"/>
      <c r="Q135" s="254"/>
      <c r="R135" s="255"/>
      <c r="S135" s="256"/>
      <c r="T135" s="620"/>
      <c r="U135" s="619"/>
      <c r="V135" s="619"/>
      <c r="W135" s="619"/>
      <c r="X135" s="619"/>
      <c r="Y135" s="619"/>
      <c r="Z135" s="619"/>
      <c r="AA135" s="619"/>
      <c r="AB135" s="619"/>
      <c r="AC135" s="619"/>
      <c r="AD135" s="619"/>
      <c r="AE135" s="621"/>
      <c r="AF135" s="579"/>
    </row>
    <row r="136" spans="1:32" ht="0.2" hidden="1" customHeight="1" x14ac:dyDescent="0.2">
      <c r="D136" s="257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8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8"/>
      <c r="R136" s="259" t="str">
        <f ca="1">L134&amp;"$"</f>
        <v>1$</v>
      </c>
      <c r="S136" s="260"/>
      <c r="T136" s="261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7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7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7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7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7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7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7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7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7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7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2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8">
        <f ca="1">OFFSET(A137,-3,0)+1</f>
        <v>42</v>
      </c>
      <c r="B137" s="238">
        <f ca="1">IF($Q137&lt;&gt;2,0,IF($R137=0,1,IF(E138&gt;0,OFFSET(QCI!$M$13,SUBSTITUTE(E138,".",""),0),OFFSET(ORÇAMENTO!$AA$15,CRONO!$E137,0))/$R137))</f>
        <v>0</v>
      </c>
      <c r="C137" s="238">
        <f ca="1">IF($Q137&lt;&gt;2,0,IF($R137=0,1,IF(E138&gt;0,OFFSET(QCI!$N$13,SUBSTITUTE(E138,".",""),0),OFFSET(ORÇAMENTO!$AB$15,CRONO!$E137,0))/$R137))</f>
        <v>0</v>
      </c>
      <c r="D137" s="241" t="e">
        <f ca="1">IF(AND($Q137=2,ACOMPANHAMENTO="BM"),D138,D139/$R137)</f>
        <v>#VALUE!</v>
      </c>
      <c r="E137" s="238" t="e">
        <f ca="1">IF(A137&lt;=ORÇAMENTO.MáximoListaCrono,MATCH(A137,ORÇAMENTO.ListaCrono,0),NA())</f>
        <v>#N/A</v>
      </c>
      <c r="F137" s="238" t="str">
        <f ca="1">IF(AND($E138&lt;&gt;-1,$R137&gt;0),"F","")</f>
        <v/>
      </c>
      <c r="G137" s="242" t="str">
        <f ca="1">IF(OR(R137=0,R137=""),"Linha",IF(AND(OR(ACOMPANHAMENTO="PLE",$Q137&lt;&gt;2),$E138=0),"Linha",1-SUM(T137:AF137)))</f>
        <v>Linha</v>
      </c>
      <c r="H137" s="243" t="str">
        <f ca="1">IF($E138=0,OFFSET(ORÇAMENTO!O$15,$E137,0),IF($E138&lt;&gt;-1,OFFSET(QCI!$D$13,$E138,0),""))</f>
        <v/>
      </c>
      <c r="I137" s="244" t="str">
        <f ca="1">IF($E138=0,OFFSET(ORÇAMENTO!R$15,$E137,0),IF($E138&lt;&gt;-1,OFFSET(QCI!$G$13,$E138,0),""))</f>
        <v/>
      </c>
      <c r="J137" s="244"/>
      <c r="K137" s="244"/>
      <c r="L137" s="245">
        <f ca="1">IF($E138=0,OFFSET(ORÇAMENTO!C$15,$E137,0),1)</f>
        <v>1</v>
      </c>
      <c r="M137" s="246">
        <f ca="1">IF($E138=-1,0,IF(M$13&lt;=$L137,IF(ISERROR(MATCH(M$13,OFFSET($L137,1,0,ROW($L$164)-ROW($L137)-1),0)),ROW($L$164)-ROW($L137)-1,MATCH(M$13,OFFSET($L137,1,0,ROW($L$164)-ROW($L137)-1),0)-1),0))</f>
        <v>0</v>
      </c>
      <c r="N137" s="246">
        <f ca="1">IF($E138=-1,0,IF(N$13&lt;=$L137,IF(ISERROR(MATCH(N$13,OFFSET($L137,1,0,ROW($L$164)-ROW($L137)-1),0)),ROW($L$164)-ROW($L137)-1,MATCH(N$13,OFFSET($L137,1,0,ROW($L$164)-ROW($L137)-1),0)-1),0))</f>
        <v>0</v>
      </c>
      <c r="O137" s="246">
        <f ca="1">IF($E138=-1,0,IF(O$13&lt;=$L137,IF(ISERROR(MATCH(O$13,OFFSET($L137,1,0,ROW($L$164)-ROW($L137)-1),0)),ROW($L$164)-ROW($L137)-1,MATCH(O$13,OFFSET($L137,1,0,ROW($L$164)-ROW($L137)-1),0)-1),0))</f>
        <v>0</v>
      </c>
      <c r="P137" s="246">
        <f ca="1">IF($E138=-1,0,IF(P$13&lt;=$L137,IF(ISERROR(MATCH(P$13,OFFSET($L137,1,0,ROW($L$164)-ROW($L137)-1),0)),ROW($L$164)-ROW($L137)-1,MATCH(P$13,OFFSET($L137,1,0,ROW($L$164)-ROW($L137)-1),0)-1),0))</f>
        <v>0</v>
      </c>
      <c r="Q137" s="246">
        <f ca="1">MIN(OFFSET(L137,0,1,,L137))</f>
        <v>0</v>
      </c>
      <c r="R137" s="247" t="str">
        <f ca="1">IF($E138=0,OFFSET(ORÇAMENTO!X$15,$E137,0),IF($E138&lt;&gt;-1,OFFSET(QCI!$O$13,$E138,0),""))</f>
        <v/>
      </c>
      <c r="S137" s="248" t="s">
        <v>269</v>
      </c>
      <c r="T137" s="249" t="e">
        <f t="shared" ref="T137:AE137" ca="1" si="44">IF(AND($Q137=2,ACOMPANHAMENTO="BM"),T138,T139/$R137)</f>
        <v>#VALUE!</v>
      </c>
      <c r="U137" s="241" t="e">
        <f t="shared" ca="1" si="44"/>
        <v>#VALUE!</v>
      </c>
      <c r="V137" s="241" t="e">
        <f t="shared" ca="1" si="44"/>
        <v>#VALUE!</v>
      </c>
      <c r="W137" s="241" t="e">
        <f t="shared" ca="1" si="44"/>
        <v>#VALUE!</v>
      </c>
      <c r="X137" s="241" t="e">
        <f t="shared" ca="1" si="44"/>
        <v>#VALUE!</v>
      </c>
      <c r="Y137" s="241" t="e">
        <f t="shared" ca="1" si="44"/>
        <v>#VALUE!</v>
      </c>
      <c r="Z137" s="241" t="e">
        <f t="shared" ca="1" si="44"/>
        <v>#VALUE!</v>
      </c>
      <c r="AA137" s="241" t="e">
        <f t="shared" ca="1" si="44"/>
        <v>#VALUE!</v>
      </c>
      <c r="AB137" s="241" t="e">
        <f t="shared" ca="1" si="44"/>
        <v>#VALUE!</v>
      </c>
      <c r="AC137" s="241" t="e">
        <f t="shared" ca="1" si="44"/>
        <v>#VALUE!</v>
      </c>
      <c r="AD137" s="241" t="e">
        <f t="shared" ca="1" si="44"/>
        <v>#VALUE!</v>
      </c>
      <c r="AE137" s="250" t="e">
        <f t="shared" ca="1" si="44"/>
        <v>#VALUE!</v>
      </c>
    </row>
    <row r="138" spans="1:32" ht="12.75" hidden="1" customHeight="1" x14ac:dyDescent="0.2">
      <c r="D138" s="619"/>
      <c r="E138" s="238">
        <f ca="1">IF(ISERROR(E137),IF(1+COUNTIF($L$13:OFFSET(L137,-1,0),1)&lt;=MAX(QCI!$D$13:$D$24),1+COUNTIF($L$13:OFFSET(L137,-1,0),1),-1),0)</f>
        <v>-1</v>
      </c>
      <c r="F138" s="238" t="str">
        <f ca="1">IF(AND($E138&lt;&gt;-1,$R137&gt;0),"F","")</f>
        <v/>
      </c>
      <c r="G138" s="251" t="str">
        <f ca="1">IF(OR(R137=0,R137=""),"vazia",IF(AND(OR(ACOMPANHAMENTO="PLE",$Q137&lt;&gt;2),$E138=0),"calculada","--&gt;"))</f>
        <v>vazia</v>
      </c>
      <c r="H138" s="252"/>
      <c r="I138" s="253" t="str">
        <f ca="1">IF(AND(G137&lt;&gt;0,ISNUMBER(G137)),"PREENCHA ESTA LINHA --&gt;","")</f>
        <v/>
      </c>
      <c r="J138" s="253"/>
      <c r="K138" s="253"/>
      <c r="L138" s="254"/>
      <c r="M138" s="254"/>
      <c r="N138" s="254"/>
      <c r="O138" s="254"/>
      <c r="P138" s="254"/>
      <c r="Q138" s="254"/>
      <c r="R138" s="255"/>
      <c r="S138" s="256"/>
      <c r="T138" s="620"/>
      <c r="U138" s="619"/>
      <c r="V138" s="619"/>
      <c r="W138" s="619"/>
      <c r="X138" s="619"/>
      <c r="Y138" s="619"/>
      <c r="Z138" s="619"/>
      <c r="AA138" s="619"/>
      <c r="AB138" s="619"/>
      <c r="AC138" s="619"/>
      <c r="AD138" s="619"/>
      <c r="AE138" s="621"/>
      <c r="AF138" s="579"/>
    </row>
    <row r="139" spans="1:32" ht="0.2" hidden="1" customHeight="1" x14ac:dyDescent="0.2">
      <c r="D139" s="257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8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8"/>
      <c r="R139" s="259" t="str">
        <f ca="1">L137&amp;"$"</f>
        <v>1$</v>
      </c>
      <c r="S139" s="260"/>
      <c r="T139" s="261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7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7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7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7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7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7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7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7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7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7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2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8">
        <f ca="1">OFFSET(A140,-3,0)+1</f>
        <v>43</v>
      </c>
      <c r="B140" s="238">
        <f ca="1">IF($Q140&lt;&gt;2,0,IF($R140=0,1,IF(E141&gt;0,OFFSET(QCI!$M$13,SUBSTITUTE(E141,".",""),0),OFFSET(ORÇAMENTO!$AA$15,CRONO!$E140,0))/$R140))</f>
        <v>0</v>
      </c>
      <c r="C140" s="238">
        <f ca="1">IF($Q140&lt;&gt;2,0,IF($R140=0,1,IF(E141&gt;0,OFFSET(QCI!$N$13,SUBSTITUTE(E141,".",""),0),OFFSET(ORÇAMENTO!$AB$15,CRONO!$E140,0))/$R140))</f>
        <v>0</v>
      </c>
      <c r="D140" s="241" t="e">
        <f ca="1">IF(AND($Q140=2,ACOMPANHAMENTO="BM"),D141,D142/$R140)</f>
        <v>#VALUE!</v>
      </c>
      <c r="E140" s="238" t="e">
        <f ca="1">IF(A140&lt;=ORÇAMENTO.MáximoListaCrono,MATCH(A140,ORÇAMENTO.ListaCrono,0),NA())</f>
        <v>#N/A</v>
      </c>
      <c r="F140" s="238" t="str">
        <f ca="1">IF(AND($E141&lt;&gt;-1,$R140&gt;0),"F","")</f>
        <v/>
      </c>
      <c r="G140" s="242" t="str">
        <f ca="1">IF(OR(R140=0,R140=""),"Linha",IF(AND(OR(ACOMPANHAMENTO="PLE",$Q140&lt;&gt;2),$E141=0),"Linha",1-SUM(T140:AF140)))</f>
        <v>Linha</v>
      </c>
      <c r="H140" s="243" t="str">
        <f ca="1">IF($E141=0,OFFSET(ORÇAMENTO!O$15,$E140,0),IF($E141&lt;&gt;-1,OFFSET(QCI!$D$13,$E141,0),""))</f>
        <v/>
      </c>
      <c r="I140" s="244" t="str">
        <f ca="1">IF($E141=0,OFFSET(ORÇAMENTO!R$15,$E140,0),IF($E141&lt;&gt;-1,OFFSET(QCI!$G$13,$E141,0),""))</f>
        <v/>
      </c>
      <c r="J140" s="244"/>
      <c r="K140" s="244"/>
      <c r="L140" s="245">
        <f ca="1">IF($E141=0,OFFSET(ORÇAMENTO!C$15,$E140,0),1)</f>
        <v>1</v>
      </c>
      <c r="M140" s="246">
        <f ca="1">IF($E141=-1,0,IF(M$13&lt;=$L140,IF(ISERROR(MATCH(M$13,OFFSET($L140,1,0,ROW($L$164)-ROW($L140)-1),0)),ROW($L$164)-ROW($L140)-1,MATCH(M$13,OFFSET($L140,1,0,ROW($L$164)-ROW($L140)-1),0)-1),0))</f>
        <v>0</v>
      </c>
      <c r="N140" s="246">
        <f ca="1">IF($E141=-1,0,IF(N$13&lt;=$L140,IF(ISERROR(MATCH(N$13,OFFSET($L140,1,0,ROW($L$164)-ROW($L140)-1),0)),ROW($L$164)-ROW($L140)-1,MATCH(N$13,OFFSET($L140,1,0,ROW($L$164)-ROW($L140)-1),0)-1),0))</f>
        <v>0</v>
      </c>
      <c r="O140" s="246">
        <f ca="1">IF($E141=-1,0,IF(O$13&lt;=$L140,IF(ISERROR(MATCH(O$13,OFFSET($L140,1,0,ROW($L$164)-ROW($L140)-1),0)),ROW($L$164)-ROW($L140)-1,MATCH(O$13,OFFSET($L140,1,0,ROW($L$164)-ROW($L140)-1),0)-1),0))</f>
        <v>0</v>
      </c>
      <c r="P140" s="246">
        <f ca="1">IF($E141=-1,0,IF(P$13&lt;=$L140,IF(ISERROR(MATCH(P$13,OFFSET($L140,1,0,ROW($L$164)-ROW($L140)-1),0)),ROW($L$164)-ROW($L140)-1,MATCH(P$13,OFFSET($L140,1,0,ROW($L$164)-ROW($L140)-1),0)-1),0))</f>
        <v>0</v>
      </c>
      <c r="Q140" s="246">
        <f ca="1">MIN(OFFSET(L140,0,1,,L140))</f>
        <v>0</v>
      </c>
      <c r="R140" s="247" t="str">
        <f ca="1">IF($E141=0,OFFSET(ORÇAMENTO!X$15,$E140,0),IF($E141&lt;&gt;-1,OFFSET(QCI!$O$13,$E141,0),""))</f>
        <v/>
      </c>
      <c r="S140" s="248" t="s">
        <v>269</v>
      </c>
      <c r="T140" s="249" t="e">
        <f t="shared" ref="T140:AE140" ca="1" si="45">IF(AND($Q140=2,ACOMPANHAMENTO="BM"),T141,T142/$R140)</f>
        <v>#VALUE!</v>
      </c>
      <c r="U140" s="241" t="e">
        <f t="shared" ca="1" si="45"/>
        <v>#VALUE!</v>
      </c>
      <c r="V140" s="241" t="e">
        <f t="shared" ca="1" si="45"/>
        <v>#VALUE!</v>
      </c>
      <c r="W140" s="241" t="e">
        <f t="shared" ca="1" si="45"/>
        <v>#VALUE!</v>
      </c>
      <c r="X140" s="241" t="e">
        <f t="shared" ca="1" si="45"/>
        <v>#VALUE!</v>
      </c>
      <c r="Y140" s="241" t="e">
        <f t="shared" ca="1" si="45"/>
        <v>#VALUE!</v>
      </c>
      <c r="Z140" s="241" t="e">
        <f t="shared" ca="1" si="45"/>
        <v>#VALUE!</v>
      </c>
      <c r="AA140" s="241" t="e">
        <f t="shared" ca="1" si="45"/>
        <v>#VALUE!</v>
      </c>
      <c r="AB140" s="241" t="e">
        <f t="shared" ca="1" si="45"/>
        <v>#VALUE!</v>
      </c>
      <c r="AC140" s="241" t="e">
        <f t="shared" ca="1" si="45"/>
        <v>#VALUE!</v>
      </c>
      <c r="AD140" s="241" t="e">
        <f t="shared" ca="1" si="45"/>
        <v>#VALUE!</v>
      </c>
      <c r="AE140" s="250" t="e">
        <f t="shared" ca="1" si="45"/>
        <v>#VALUE!</v>
      </c>
    </row>
    <row r="141" spans="1:32" ht="12.75" hidden="1" customHeight="1" x14ac:dyDescent="0.2">
      <c r="D141" s="619"/>
      <c r="E141" s="238">
        <f ca="1">IF(ISERROR(E140),IF(1+COUNTIF($L$13:OFFSET(L140,-1,0),1)&lt;=MAX(QCI!$D$13:$D$24),1+COUNTIF($L$13:OFFSET(L140,-1,0),1),-1),0)</f>
        <v>-1</v>
      </c>
      <c r="F141" s="238" t="str">
        <f ca="1">IF(AND($E141&lt;&gt;-1,$R140&gt;0),"F","")</f>
        <v/>
      </c>
      <c r="G141" s="251" t="str">
        <f ca="1">IF(OR(R140=0,R140=""),"vazia",IF(AND(OR(ACOMPANHAMENTO="PLE",$Q140&lt;&gt;2),$E141=0),"calculada","--&gt;"))</f>
        <v>vazia</v>
      </c>
      <c r="H141" s="252"/>
      <c r="I141" s="253" t="str">
        <f ca="1">IF(AND(G140&lt;&gt;0,ISNUMBER(G140)),"PREENCHA ESTA LINHA --&gt;","")</f>
        <v/>
      </c>
      <c r="J141" s="253"/>
      <c r="K141" s="253"/>
      <c r="L141" s="254"/>
      <c r="M141" s="254"/>
      <c r="N141" s="254"/>
      <c r="O141" s="254"/>
      <c r="P141" s="254"/>
      <c r="Q141" s="254"/>
      <c r="R141" s="255"/>
      <c r="S141" s="256"/>
      <c r="T141" s="620"/>
      <c r="U141" s="619"/>
      <c r="V141" s="619"/>
      <c r="W141" s="619"/>
      <c r="X141" s="619"/>
      <c r="Y141" s="619"/>
      <c r="Z141" s="619"/>
      <c r="AA141" s="619"/>
      <c r="AB141" s="619"/>
      <c r="AC141" s="619"/>
      <c r="AD141" s="619"/>
      <c r="AE141" s="621"/>
      <c r="AF141" s="579"/>
    </row>
    <row r="142" spans="1:32" ht="0.2" hidden="1" customHeight="1" x14ac:dyDescent="0.2">
      <c r="D142" s="257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8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8"/>
      <c r="R142" s="259" t="str">
        <f ca="1">L140&amp;"$"</f>
        <v>1$</v>
      </c>
      <c r="S142" s="260"/>
      <c r="T142" s="261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7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7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7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7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7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7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7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7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7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7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2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8">
        <f ca="1">OFFSET(A143,-3,0)+1</f>
        <v>44</v>
      </c>
      <c r="B143" s="238">
        <f ca="1">IF($Q143&lt;&gt;2,0,IF($R143=0,1,IF(E144&gt;0,OFFSET(QCI!$M$13,SUBSTITUTE(E144,".",""),0),OFFSET(ORÇAMENTO!$AA$15,CRONO!$E143,0))/$R143))</f>
        <v>0</v>
      </c>
      <c r="C143" s="238">
        <f ca="1">IF($Q143&lt;&gt;2,0,IF($R143=0,1,IF(E144&gt;0,OFFSET(QCI!$N$13,SUBSTITUTE(E144,".",""),0),OFFSET(ORÇAMENTO!$AB$15,CRONO!$E143,0))/$R143))</f>
        <v>0</v>
      </c>
      <c r="D143" s="241" t="e">
        <f ca="1">IF(AND($Q143=2,ACOMPANHAMENTO="BM"),D144,D145/$R143)</f>
        <v>#VALUE!</v>
      </c>
      <c r="E143" s="238" t="e">
        <f ca="1">IF(A143&lt;=ORÇAMENTO.MáximoListaCrono,MATCH(A143,ORÇAMENTO.ListaCrono,0),NA())</f>
        <v>#N/A</v>
      </c>
      <c r="F143" s="238" t="str">
        <f ca="1">IF(AND($E144&lt;&gt;-1,$R143&gt;0),"F","")</f>
        <v/>
      </c>
      <c r="G143" s="242" t="str">
        <f ca="1">IF(OR(R143=0,R143=""),"Linha",IF(AND(OR(ACOMPANHAMENTO="PLE",$Q143&lt;&gt;2),$E144=0),"Linha",1-SUM(T143:AF143)))</f>
        <v>Linha</v>
      </c>
      <c r="H143" s="243" t="str">
        <f ca="1">IF($E144=0,OFFSET(ORÇAMENTO!O$15,$E143,0),IF($E144&lt;&gt;-1,OFFSET(QCI!$D$13,$E144,0),""))</f>
        <v/>
      </c>
      <c r="I143" s="244" t="str">
        <f ca="1">IF($E144=0,OFFSET(ORÇAMENTO!R$15,$E143,0),IF($E144&lt;&gt;-1,OFFSET(QCI!$G$13,$E144,0),""))</f>
        <v/>
      </c>
      <c r="J143" s="244"/>
      <c r="K143" s="244"/>
      <c r="L143" s="245">
        <f ca="1">IF($E144=0,OFFSET(ORÇAMENTO!C$15,$E143,0),1)</f>
        <v>1</v>
      </c>
      <c r="M143" s="246">
        <f ca="1">IF($E144=-1,0,IF(M$13&lt;=$L143,IF(ISERROR(MATCH(M$13,OFFSET($L143,1,0,ROW($L$164)-ROW($L143)-1),0)),ROW($L$164)-ROW($L143)-1,MATCH(M$13,OFFSET($L143,1,0,ROW($L$164)-ROW($L143)-1),0)-1),0))</f>
        <v>0</v>
      </c>
      <c r="N143" s="246">
        <f ca="1">IF($E144=-1,0,IF(N$13&lt;=$L143,IF(ISERROR(MATCH(N$13,OFFSET($L143,1,0,ROW($L$164)-ROW($L143)-1),0)),ROW($L$164)-ROW($L143)-1,MATCH(N$13,OFFSET($L143,1,0,ROW($L$164)-ROW($L143)-1),0)-1),0))</f>
        <v>0</v>
      </c>
      <c r="O143" s="246">
        <f ca="1">IF($E144=-1,0,IF(O$13&lt;=$L143,IF(ISERROR(MATCH(O$13,OFFSET($L143,1,0,ROW($L$164)-ROW($L143)-1),0)),ROW($L$164)-ROW($L143)-1,MATCH(O$13,OFFSET($L143,1,0,ROW($L$164)-ROW($L143)-1),0)-1),0))</f>
        <v>0</v>
      </c>
      <c r="P143" s="246">
        <f ca="1">IF($E144=-1,0,IF(P$13&lt;=$L143,IF(ISERROR(MATCH(P$13,OFFSET($L143,1,0,ROW($L$164)-ROW($L143)-1),0)),ROW($L$164)-ROW($L143)-1,MATCH(P$13,OFFSET($L143,1,0,ROW($L$164)-ROW($L143)-1),0)-1),0))</f>
        <v>0</v>
      </c>
      <c r="Q143" s="246">
        <f ca="1">MIN(OFFSET(L143,0,1,,L143))</f>
        <v>0</v>
      </c>
      <c r="R143" s="247" t="str">
        <f ca="1">IF($E144=0,OFFSET(ORÇAMENTO!X$15,$E143,0),IF($E144&lt;&gt;-1,OFFSET(QCI!$O$13,$E144,0),""))</f>
        <v/>
      </c>
      <c r="S143" s="248" t="s">
        <v>269</v>
      </c>
      <c r="T143" s="249" t="e">
        <f t="shared" ref="T143:AE143" ca="1" si="46">IF(AND($Q143=2,ACOMPANHAMENTO="BM"),T144,T145/$R143)</f>
        <v>#VALUE!</v>
      </c>
      <c r="U143" s="241" t="e">
        <f t="shared" ca="1" si="46"/>
        <v>#VALUE!</v>
      </c>
      <c r="V143" s="241" t="e">
        <f t="shared" ca="1" si="46"/>
        <v>#VALUE!</v>
      </c>
      <c r="W143" s="241" t="e">
        <f t="shared" ca="1" si="46"/>
        <v>#VALUE!</v>
      </c>
      <c r="X143" s="241" t="e">
        <f t="shared" ca="1" si="46"/>
        <v>#VALUE!</v>
      </c>
      <c r="Y143" s="241" t="e">
        <f t="shared" ca="1" si="46"/>
        <v>#VALUE!</v>
      </c>
      <c r="Z143" s="241" t="e">
        <f t="shared" ca="1" si="46"/>
        <v>#VALUE!</v>
      </c>
      <c r="AA143" s="241" t="e">
        <f t="shared" ca="1" si="46"/>
        <v>#VALUE!</v>
      </c>
      <c r="AB143" s="241" t="e">
        <f t="shared" ca="1" si="46"/>
        <v>#VALUE!</v>
      </c>
      <c r="AC143" s="241" t="e">
        <f t="shared" ca="1" si="46"/>
        <v>#VALUE!</v>
      </c>
      <c r="AD143" s="241" t="e">
        <f t="shared" ca="1" si="46"/>
        <v>#VALUE!</v>
      </c>
      <c r="AE143" s="250" t="e">
        <f t="shared" ca="1" si="46"/>
        <v>#VALUE!</v>
      </c>
    </row>
    <row r="144" spans="1:32" ht="12.75" hidden="1" customHeight="1" x14ac:dyDescent="0.2">
      <c r="D144" s="619"/>
      <c r="E144" s="238">
        <f ca="1">IF(ISERROR(E143),IF(1+COUNTIF($L$13:OFFSET(L143,-1,0),1)&lt;=MAX(QCI!$D$13:$D$24),1+COUNTIF($L$13:OFFSET(L143,-1,0),1),-1),0)</f>
        <v>-1</v>
      </c>
      <c r="F144" s="238" t="str">
        <f ca="1">IF(AND($E144&lt;&gt;-1,$R143&gt;0),"F","")</f>
        <v/>
      </c>
      <c r="G144" s="251" t="str">
        <f ca="1">IF(OR(R143=0,R143=""),"vazia",IF(AND(OR(ACOMPANHAMENTO="PLE",$Q143&lt;&gt;2),$E144=0),"calculada","--&gt;"))</f>
        <v>vazia</v>
      </c>
      <c r="H144" s="252"/>
      <c r="I144" s="253" t="str">
        <f ca="1">IF(AND(G143&lt;&gt;0,ISNUMBER(G143)),"PREENCHA ESTA LINHA --&gt;","")</f>
        <v/>
      </c>
      <c r="J144" s="253"/>
      <c r="K144" s="253"/>
      <c r="L144" s="254"/>
      <c r="M144" s="254"/>
      <c r="N144" s="254"/>
      <c r="O144" s="254"/>
      <c r="P144" s="254"/>
      <c r="Q144" s="254"/>
      <c r="R144" s="255"/>
      <c r="S144" s="256"/>
      <c r="T144" s="620"/>
      <c r="U144" s="619"/>
      <c r="V144" s="619"/>
      <c r="W144" s="619"/>
      <c r="X144" s="619"/>
      <c r="Y144" s="619"/>
      <c r="Z144" s="619"/>
      <c r="AA144" s="619"/>
      <c r="AB144" s="619"/>
      <c r="AC144" s="619"/>
      <c r="AD144" s="619"/>
      <c r="AE144" s="621"/>
      <c r="AF144" s="579"/>
    </row>
    <row r="145" spans="1:32" ht="0.2" hidden="1" customHeight="1" x14ac:dyDescent="0.2">
      <c r="D145" s="257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8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8"/>
      <c r="R145" s="259" t="str">
        <f ca="1">L143&amp;"$"</f>
        <v>1$</v>
      </c>
      <c r="S145" s="260"/>
      <c r="T145" s="261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7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7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7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7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7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7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7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7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7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7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2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8">
        <f ca="1">OFFSET(A146,-3,0)+1</f>
        <v>45</v>
      </c>
      <c r="B146" s="238">
        <f ca="1">IF($Q146&lt;&gt;2,0,IF($R146=0,1,IF(E147&gt;0,OFFSET(QCI!$M$13,SUBSTITUTE(E147,".",""),0),OFFSET(ORÇAMENTO!$AA$15,CRONO!$E146,0))/$R146))</f>
        <v>0</v>
      </c>
      <c r="C146" s="238">
        <f ca="1">IF($Q146&lt;&gt;2,0,IF($R146=0,1,IF(E147&gt;0,OFFSET(QCI!$N$13,SUBSTITUTE(E147,".",""),0),OFFSET(ORÇAMENTO!$AB$15,CRONO!$E146,0))/$R146))</f>
        <v>0</v>
      </c>
      <c r="D146" s="241" t="e">
        <f ca="1">IF(AND($Q146=2,ACOMPANHAMENTO="BM"),D147,D148/$R146)</f>
        <v>#VALUE!</v>
      </c>
      <c r="E146" s="238" t="e">
        <f ca="1">IF(A146&lt;=ORÇAMENTO.MáximoListaCrono,MATCH(A146,ORÇAMENTO.ListaCrono,0),NA())</f>
        <v>#N/A</v>
      </c>
      <c r="F146" s="238" t="str">
        <f ca="1">IF(AND($E147&lt;&gt;-1,$R146&gt;0),"F","")</f>
        <v/>
      </c>
      <c r="G146" s="242" t="str">
        <f ca="1">IF(OR(R146=0,R146=""),"Linha",IF(AND(OR(ACOMPANHAMENTO="PLE",$Q146&lt;&gt;2),$E147=0),"Linha",1-SUM(T146:AF146)))</f>
        <v>Linha</v>
      </c>
      <c r="H146" s="243" t="str">
        <f ca="1">IF($E147=0,OFFSET(ORÇAMENTO!O$15,$E146,0),IF($E147&lt;&gt;-1,OFFSET(QCI!$D$13,$E147,0),""))</f>
        <v/>
      </c>
      <c r="I146" s="244" t="str">
        <f ca="1">IF($E147=0,OFFSET(ORÇAMENTO!R$15,$E146,0),IF($E147&lt;&gt;-1,OFFSET(QCI!$G$13,$E147,0),""))</f>
        <v/>
      </c>
      <c r="J146" s="244"/>
      <c r="K146" s="244"/>
      <c r="L146" s="245">
        <f ca="1">IF($E147=0,OFFSET(ORÇAMENTO!C$15,$E146,0),1)</f>
        <v>1</v>
      </c>
      <c r="M146" s="246">
        <f ca="1">IF($E147=-1,0,IF(M$13&lt;=$L146,IF(ISERROR(MATCH(M$13,OFFSET($L146,1,0,ROW($L$164)-ROW($L146)-1),0)),ROW($L$164)-ROW($L146)-1,MATCH(M$13,OFFSET($L146,1,0,ROW($L$164)-ROW($L146)-1),0)-1),0))</f>
        <v>0</v>
      </c>
      <c r="N146" s="246">
        <f ca="1">IF($E147=-1,0,IF(N$13&lt;=$L146,IF(ISERROR(MATCH(N$13,OFFSET($L146,1,0,ROW($L$164)-ROW($L146)-1),0)),ROW($L$164)-ROW($L146)-1,MATCH(N$13,OFFSET($L146,1,0,ROW($L$164)-ROW($L146)-1),0)-1),0))</f>
        <v>0</v>
      </c>
      <c r="O146" s="246">
        <f ca="1">IF($E147=-1,0,IF(O$13&lt;=$L146,IF(ISERROR(MATCH(O$13,OFFSET($L146,1,0,ROW($L$164)-ROW($L146)-1),0)),ROW($L$164)-ROW($L146)-1,MATCH(O$13,OFFSET($L146,1,0,ROW($L$164)-ROW($L146)-1),0)-1),0))</f>
        <v>0</v>
      </c>
      <c r="P146" s="246">
        <f ca="1">IF($E147=-1,0,IF(P$13&lt;=$L146,IF(ISERROR(MATCH(P$13,OFFSET($L146,1,0,ROW($L$164)-ROW($L146)-1),0)),ROW($L$164)-ROW($L146)-1,MATCH(P$13,OFFSET($L146,1,0,ROW($L$164)-ROW($L146)-1),0)-1),0))</f>
        <v>0</v>
      </c>
      <c r="Q146" s="246">
        <f ca="1">MIN(OFFSET(L146,0,1,,L146))</f>
        <v>0</v>
      </c>
      <c r="R146" s="247" t="str">
        <f ca="1">IF($E147=0,OFFSET(ORÇAMENTO!X$15,$E146,0),IF($E147&lt;&gt;-1,OFFSET(QCI!$O$13,$E147,0),""))</f>
        <v/>
      </c>
      <c r="S146" s="248" t="s">
        <v>269</v>
      </c>
      <c r="T146" s="249" t="e">
        <f t="shared" ref="T146:AE146" ca="1" si="47">IF(AND($Q146=2,ACOMPANHAMENTO="BM"),T147,T148/$R146)</f>
        <v>#VALUE!</v>
      </c>
      <c r="U146" s="241" t="e">
        <f t="shared" ca="1" si="47"/>
        <v>#VALUE!</v>
      </c>
      <c r="V146" s="241" t="e">
        <f t="shared" ca="1" si="47"/>
        <v>#VALUE!</v>
      </c>
      <c r="W146" s="241" t="e">
        <f t="shared" ca="1" si="47"/>
        <v>#VALUE!</v>
      </c>
      <c r="X146" s="241" t="e">
        <f t="shared" ca="1" si="47"/>
        <v>#VALUE!</v>
      </c>
      <c r="Y146" s="241" t="e">
        <f t="shared" ca="1" si="47"/>
        <v>#VALUE!</v>
      </c>
      <c r="Z146" s="241" t="e">
        <f t="shared" ca="1" si="47"/>
        <v>#VALUE!</v>
      </c>
      <c r="AA146" s="241" t="e">
        <f t="shared" ca="1" si="47"/>
        <v>#VALUE!</v>
      </c>
      <c r="AB146" s="241" t="e">
        <f t="shared" ca="1" si="47"/>
        <v>#VALUE!</v>
      </c>
      <c r="AC146" s="241" t="e">
        <f t="shared" ca="1" si="47"/>
        <v>#VALUE!</v>
      </c>
      <c r="AD146" s="241" t="e">
        <f t="shared" ca="1" si="47"/>
        <v>#VALUE!</v>
      </c>
      <c r="AE146" s="250" t="e">
        <f t="shared" ca="1" si="47"/>
        <v>#VALUE!</v>
      </c>
    </row>
    <row r="147" spans="1:32" ht="12.75" hidden="1" customHeight="1" x14ac:dyDescent="0.2">
      <c r="D147" s="619"/>
      <c r="E147" s="238">
        <f ca="1">IF(ISERROR(E146),IF(1+COUNTIF($L$13:OFFSET(L146,-1,0),1)&lt;=MAX(QCI!$D$13:$D$24),1+COUNTIF($L$13:OFFSET(L146,-1,0),1),-1),0)</f>
        <v>-1</v>
      </c>
      <c r="F147" s="238" t="str">
        <f ca="1">IF(AND($E147&lt;&gt;-1,$R146&gt;0),"F","")</f>
        <v/>
      </c>
      <c r="G147" s="251" t="str">
        <f ca="1">IF(OR(R146=0,R146=""),"vazia",IF(AND(OR(ACOMPANHAMENTO="PLE",$Q146&lt;&gt;2),$E147=0),"calculada","--&gt;"))</f>
        <v>vazia</v>
      </c>
      <c r="H147" s="252"/>
      <c r="I147" s="253" t="str">
        <f ca="1">IF(AND(G146&lt;&gt;0,ISNUMBER(G146)),"PREENCHA ESTA LINHA --&gt;","")</f>
        <v/>
      </c>
      <c r="J147" s="253"/>
      <c r="K147" s="253"/>
      <c r="L147" s="254"/>
      <c r="M147" s="254"/>
      <c r="N147" s="254"/>
      <c r="O147" s="254"/>
      <c r="P147" s="254"/>
      <c r="Q147" s="254"/>
      <c r="R147" s="255"/>
      <c r="S147" s="256"/>
      <c r="T147" s="620"/>
      <c r="U147" s="619"/>
      <c r="V147" s="619"/>
      <c r="W147" s="619"/>
      <c r="X147" s="619"/>
      <c r="Y147" s="619"/>
      <c r="Z147" s="619"/>
      <c r="AA147" s="619"/>
      <c r="AB147" s="619"/>
      <c r="AC147" s="619"/>
      <c r="AD147" s="619"/>
      <c r="AE147" s="621"/>
      <c r="AF147" s="579"/>
    </row>
    <row r="148" spans="1:32" ht="0.2" hidden="1" customHeight="1" x14ac:dyDescent="0.2">
      <c r="D148" s="257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8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8"/>
      <c r="R148" s="259" t="str">
        <f ca="1">L146&amp;"$"</f>
        <v>1$</v>
      </c>
      <c r="S148" s="260"/>
      <c r="T148" s="261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7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7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7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7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7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7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7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7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7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7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2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8">
        <f ca="1">OFFSET(A149,-3,0)+1</f>
        <v>46</v>
      </c>
      <c r="B149" s="238">
        <f ca="1">IF($Q149&lt;&gt;2,0,IF($R149=0,1,IF(E150&gt;0,OFFSET(QCI!$M$13,SUBSTITUTE(E150,".",""),0),OFFSET(ORÇAMENTO!$AA$15,CRONO!$E149,0))/$R149))</f>
        <v>0</v>
      </c>
      <c r="C149" s="238">
        <f ca="1">IF($Q149&lt;&gt;2,0,IF($R149=0,1,IF(E150&gt;0,OFFSET(QCI!$N$13,SUBSTITUTE(E150,".",""),0),OFFSET(ORÇAMENTO!$AB$15,CRONO!$E149,0))/$R149))</f>
        <v>0</v>
      </c>
      <c r="D149" s="241" t="e">
        <f ca="1">IF(AND($Q149=2,ACOMPANHAMENTO="BM"),D150,D151/$R149)</f>
        <v>#VALUE!</v>
      </c>
      <c r="E149" s="238" t="e">
        <f ca="1">IF(A149&lt;=ORÇAMENTO.MáximoListaCrono,MATCH(A149,ORÇAMENTO.ListaCrono,0),NA())</f>
        <v>#N/A</v>
      </c>
      <c r="F149" s="238" t="str">
        <f ca="1">IF(AND($E150&lt;&gt;-1,$R149&gt;0),"F","")</f>
        <v/>
      </c>
      <c r="G149" s="242" t="str">
        <f ca="1">IF(OR(R149=0,R149=""),"Linha",IF(AND(OR(ACOMPANHAMENTO="PLE",$Q149&lt;&gt;2),$E150=0),"Linha",1-SUM(T149:AF149)))</f>
        <v>Linha</v>
      </c>
      <c r="H149" s="243" t="str">
        <f ca="1">IF($E150=0,OFFSET(ORÇAMENTO!O$15,$E149,0),IF($E150&lt;&gt;-1,OFFSET(QCI!$D$13,$E150,0),""))</f>
        <v/>
      </c>
      <c r="I149" s="244" t="str">
        <f ca="1">IF($E150=0,OFFSET(ORÇAMENTO!R$15,$E149,0),IF($E150&lt;&gt;-1,OFFSET(QCI!$G$13,$E150,0),""))</f>
        <v/>
      </c>
      <c r="J149" s="244"/>
      <c r="K149" s="244"/>
      <c r="L149" s="245">
        <f ca="1">IF($E150=0,OFFSET(ORÇAMENTO!C$15,$E149,0),1)</f>
        <v>1</v>
      </c>
      <c r="M149" s="246">
        <f ca="1">IF($E150=-1,0,IF(M$13&lt;=$L149,IF(ISERROR(MATCH(M$13,OFFSET($L149,1,0,ROW($L$164)-ROW($L149)-1),0)),ROW($L$164)-ROW($L149)-1,MATCH(M$13,OFFSET($L149,1,0,ROW($L$164)-ROW($L149)-1),0)-1),0))</f>
        <v>0</v>
      </c>
      <c r="N149" s="246">
        <f ca="1">IF($E150=-1,0,IF(N$13&lt;=$L149,IF(ISERROR(MATCH(N$13,OFFSET($L149,1,0,ROW($L$164)-ROW($L149)-1),0)),ROW($L$164)-ROW($L149)-1,MATCH(N$13,OFFSET($L149,1,0,ROW($L$164)-ROW($L149)-1),0)-1),0))</f>
        <v>0</v>
      </c>
      <c r="O149" s="246">
        <f ca="1">IF($E150=-1,0,IF(O$13&lt;=$L149,IF(ISERROR(MATCH(O$13,OFFSET($L149,1,0,ROW($L$164)-ROW($L149)-1),0)),ROW($L$164)-ROW($L149)-1,MATCH(O$13,OFFSET($L149,1,0,ROW($L$164)-ROW($L149)-1),0)-1),0))</f>
        <v>0</v>
      </c>
      <c r="P149" s="246">
        <f ca="1">IF($E150=-1,0,IF(P$13&lt;=$L149,IF(ISERROR(MATCH(P$13,OFFSET($L149,1,0,ROW($L$164)-ROW($L149)-1),0)),ROW($L$164)-ROW($L149)-1,MATCH(P$13,OFFSET($L149,1,0,ROW($L$164)-ROW($L149)-1),0)-1),0))</f>
        <v>0</v>
      </c>
      <c r="Q149" s="246">
        <f ca="1">MIN(OFFSET(L149,0,1,,L149))</f>
        <v>0</v>
      </c>
      <c r="R149" s="247" t="str">
        <f ca="1">IF($E150=0,OFFSET(ORÇAMENTO!X$15,$E149,0),IF($E150&lt;&gt;-1,OFFSET(QCI!$O$13,$E150,0),""))</f>
        <v/>
      </c>
      <c r="S149" s="248" t="s">
        <v>269</v>
      </c>
      <c r="T149" s="249" t="e">
        <f t="shared" ref="T149:AE149" ca="1" si="48">IF(AND($Q149=2,ACOMPANHAMENTO="BM"),T150,T151/$R149)</f>
        <v>#VALUE!</v>
      </c>
      <c r="U149" s="241" t="e">
        <f t="shared" ca="1" si="48"/>
        <v>#VALUE!</v>
      </c>
      <c r="V149" s="241" t="e">
        <f t="shared" ca="1" si="48"/>
        <v>#VALUE!</v>
      </c>
      <c r="W149" s="241" t="e">
        <f t="shared" ca="1" si="48"/>
        <v>#VALUE!</v>
      </c>
      <c r="X149" s="241" t="e">
        <f t="shared" ca="1" si="48"/>
        <v>#VALUE!</v>
      </c>
      <c r="Y149" s="241" t="e">
        <f t="shared" ca="1" si="48"/>
        <v>#VALUE!</v>
      </c>
      <c r="Z149" s="241" t="e">
        <f t="shared" ca="1" si="48"/>
        <v>#VALUE!</v>
      </c>
      <c r="AA149" s="241" t="e">
        <f t="shared" ca="1" si="48"/>
        <v>#VALUE!</v>
      </c>
      <c r="AB149" s="241" t="e">
        <f t="shared" ca="1" si="48"/>
        <v>#VALUE!</v>
      </c>
      <c r="AC149" s="241" t="e">
        <f t="shared" ca="1" si="48"/>
        <v>#VALUE!</v>
      </c>
      <c r="AD149" s="241" t="e">
        <f t="shared" ca="1" si="48"/>
        <v>#VALUE!</v>
      </c>
      <c r="AE149" s="250" t="e">
        <f t="shared" ca="1" si="48"/>
        <v>#VALUE!</v>
      </c>
    </row>
    <row r="150" spans="1:32" ht="12.75" hidden="1" customHeight="1" x14ac:dyDescent="0.2">
      <c r="D150" s="619"/>
      <c r="E150" s="238">
        <f ca="1">IF(ISERROR(E149),IF(1+COUNTIF($L$13:OFFSET(L149,-1,0),1)&lt;=MAX(QCI!$D$13:$D$24),1+COUNTIF($L$13:OFFSET(L149,-1,0),1),-1),0)</f>
        <v>-1</v>
      </c>
      <c r="F150" s="238" t="str">
        <f ca="1">IF(AND($E150&lt;&gt;-1,$R149&gt;0),"F","")</f>
        <v/>
      </c>
      <c r="G150" s="251" t="str">
        <f ca="1">IF(OR(R149=0,R149=""),"vazia",IF(AND(OR(ACOMPANHAMENTO="PLE",$Q149&lt;&gt;2),$E150=0),"calculada","--&gt;"))</f>
        <v>vazia</v>
      </c>
      <c r="H150" s="252"/>
      <c r="I150" s="253" t="str">
        <f ca="1">IF(AND(G149&lt;&gt;0,ISNUMBER(G149)),"PREENCHA ESTA LINHA --&gt;","")</f>
        <v/>
      </c>
      <c r="J150" s="253"/>
      <c r="K150" s="253"/>
      <c r="L150" s="254"/>
      <c r="M150" s="254"/>
      <c r="N150" s="254"/>
      <c r="O150" s="254"/>
      <c r="P150" s="254"/>
      <c r="Q150" s="254"/>
      <c r="R150" s="255"/>
      <c r="S150" s="256"/>
      <c r="T150" s="620"/>
      <c r="U150" s="619"/>
      <c r="V150" s="619"/>
      <c r="W150" s="619"/>
      <c r="X150" s="619"/>
      <c r="Y150" s="619"/>
      <c r="Z150" s="619"/>
      <c r="AA150" s="619"/>
      <c r="AB150" s="619"/>
      <c r="AC150" s="619"/>
      <c r="AD150" s="619"/>
      <c r="AE150" s="621"/>
      <c r="AF150" s="579"/>
    </row>
    <row r="151" spans="1:32" ht="0.2" hidden="1" customHeight="1" x14ac:dyDescent="0.2">
      <c r="D151" s="257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8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8"/>
      <c r="R151" s="259" t="str">
        <f ca="1">L149&amp;"$"</f>
        <v>1$</v>
      </c>
      <c r="S151" s="260"/>
      <c r="T151" s="261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7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7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7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7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7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7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7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7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7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7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2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8">
        <f ca="1">OFFSET(A152,-3,0)+1</f>
        <v>47</v>
      </c>
      <c r="B152" s="238">
        <f ca="1">IF($Q152&lt;&gt;2,0,IF($R152=0,1,IF(E153&gt;0,OFFSET(QCI!$M$13,SUBSTITUTE(E153,".",""),0),OFFSET(ORÇAMENTO!$AA$15,CRONO!$E152,0))/$R152))</f>
        <v>0</v>
      </c>
      <c r="C152" s="238">
        <f ca="1">IF($Q152&lt;&gt;2,0,IF($R152=0,1,IF(E153&gt;0,OFFSET(QCI!$N$13,SUBSTITUTE(E153,".",""),0),OFFSET(ORÇAMENTO!$AB$15,CRONO!$E152,0))/$R152))</f>
        <v>0</v>
      </c>
      <c r="D152" s="241" t="e">
        <f ca="1">IF(AND($Q152=2,ACOMPANHAMENTO="BM"),D153,D154/$R152)</f>
        <v>#VALUE!</v>
      </c>
      <c r="E152" s="238" t="e">
        <f ca="1">IF(A152&lt;=ORÇAMENTO.MáximoListaCrono,MATCH(A152,ORÇAMENTO.ListaCrono,0),NA())</f>
        <v>#N/A</v>
      </c>
      <c r="F152" s="238" t="str">
        <f ca="1">IF(AND($E153&lt;&gt;-1,$R152&gt;0),"F","")</f>
        <v/>
      </c>
      <c r="G152" s="242" t="str">
        <f ca="1">IF(OR(R152=0,R152=""),"Linha",IF(AND(OR(ACOMPANHAMENTO="PLE",$Q152&lt;&gt;2),$E153=0),"Linha",1-SUM(T152:AF152)))</f>
        <v>Linha</v>
      </c>
      <c r="H152" s="243" t="str">
        <f ca="1">IF($E153=0,OFFSET(ORÇAMENTO!O$15,$E152,0),IF($E153&lt;&gt;-1,OFFSET(QCI!$D$13,$E153,0),""))</f>
        <v/>
      </c>
      <c r="I152" s="244" t="str">
        <f ca="1">IF($E153=0,OFFSET(ORÇAMENTO!R$15,$E152,0),IF($E153&lt;&gt;-1,OFFSET(QCI!$G$13,$E153,0),""))</f>
        <v/>
      </c>
      <c r="J152" s="244"/>
      <c r="K152" s="244"/>
      <c r="L152" s="245">
        <f ca="1">IF($E153=0,OFFSET(ORÇAMENTO!C$15,$E152,0),1)</f>
        <v>1</v>
      </c>
      <c r="M152" s="246">
        <f ca="1">IF($E153=-1,0,IF(M$13&lt;=$L152,IF(ISERROR(MATCH(M$13,OFFSET($L152,1,0,ROW($L$164)-ROW($L152)-1),0)),ROW($L$164)-ROW($L152)-1,MATCH(M$13,OFFSET($L152,1,0,ROW($L$164)-ROW($L152)-1),0)-1),0))</f>
        <v>0</v>
      </c>
      <c r="N152" s="246">
        <f ca="1">IF($E153=-1,0,IF(N$13&lt;=$L152,IF(ISERROR(MATCH(N$13,OFFSET($L152,1,0,ROW($L$164)-ROW($L152)-1),0)),ROW($L$164)-ROW($L152)-1,MATCH(N$13,OFFSET($L152,1,0,ROW($L$164)-ROW($L152)-1),0)-1),0))</f>
        <v>0</v>
      </c>
      <c r="O152" s="246">
        <f ca="1">IF($E153=-1,0,IF(O$13&lt;=$L152,IF(ISERROR(MATCH(O$13,OFFSET($L152,1,0,ROW($L$164)-ROW($L152)-1),0)),ROW($L$164)-ROW($L152)-1,MATCH(O$13,OFFSET($L152,1,0,ROW($L$164)-ROW($L152)-1),0)-1),0))</f>
        <v>0</v>
      </c>
      <c r="P152" s="246">
        <f ca="1">IF($E153=-1,0,IF(P$13&lt;=$L152,IF(ISERROR(MATCH(P$13,OFFSET($L152,1,0,ROW($L$164)-ROW($L152)-1),0)),ROW($L$164)-ROW($L152)-1,MATCH(P$13,OFFSET($L152,1,0,ROW($L$164)-ROW($L152)-1),0)-1),0))</f>
        <v>0</v>
      </c>
      <c r="Q152" s="246">
        <f ca="1">MIN(OFFSET(L152,0,1,,L152))</f>
        <v>0</v>
      </c>
      <c r="R152" s="247" t="str">
        <f ca="1">IF($E153=0,OFFSET(ORÇAMENTO!X$15,$E152,0),IF($E153&lt;&gt;-1,OFFSET(QCI!$O$13,$E153,0),""))</f>
        <v/>
      </c>
      <c r="S152" s="248" t="s">
        <v>269</v>
      </c>
      <c r="T152" s="249" t="e">
        <f t="shared" ref="T152:AE152" ca="1" si="49">IF(AND($Q152=2,ACOMPANHAMENTO="BM"),T153,T154/$R152)</f>
        <v>#VALUE!</v>
      </c>
      <c r="U152" s="241" t="e">
        <f t="shared" ca="1" si="49"/>
        <v>#VALUE!</v>
      </c>
      <c r="V152" s="241" t="e">
        <f t="shared" ca="1" si="49"/>
        <v>#VALUE!</v>
      </c>
      <c r="W152" s="241" t="e">
        <f t="shared" ca="1" si="49"/>
        <v>#VALUE!</v>
      </c>
      <c r="X152" s="241" t="e">
        <f t="shared" ca="1" si="49"/>
        <v>#VALUE!</v>
      </c>
      <c r="Y152" s="241" t="e">
        <f t="shared" ca="1" si="49"/>
        <v>#VALUE!</v>
      </c>
      <c r="Z152" s="241" t="e">
        <f t="shared" ca="1" si="49"/>
        <v>#VALUE!</v>
      </c>
      <c r="AA152" s="241" t="e">
        <f t="shared" ca="1" si="49"/>
        <v>#VALUE!</v>
      </c>
      <c r="AB152" s="241" t="e">
        <f t="shared" ca="1" si="49"/>
        <v>#VALUE!</v>
      </c>
      <c r="AC152" s="241" t="e">
        <f t="shared" ca="1" si="49"/>
        <v>#VALUE!</v>
      </c>
      <c r="AD152" s="241" t="e">
        <f t="shared" ca="1" si="49"/>
        <v>#VALUE!</v>
      </c>
      <c r="AE152" s="250" t="e">
        <f t="shared" ca="1" si="49"/>
        <v>#VALUE!</v>
      </c>
    </row>
    <row r="153" spans="1:32" ht="12.75" hidden="1" customHeight="1" x14ac:dyDescent="0.2">
      <c r="D153" s="619"/>
      <c r="E153" s="238">
        <f ca="1">IF(ISERROR(E152),IF(1+COUNTIF($L$13:OFFSET(L152,-1,0),1)&lt;=MAX(QCI!$D$13:$D$24),1+COUNTIF($L$13:OFFSET(L152,-1,0),1),-1),0)</f>
        <v>-1</v>
      </c>
      <c r="F153" s="238" t="str">
        <f ca="1">IF(AND($E153&lt;&gt;-1,$R152&gt;0),"F","")</f>
        <v/>
      </c>
      <c r="G153" s="251" t="str">
        <f ca="1">IF(OR(R152=0,R152=""),"vazia",IF(AND(OR(ACOMPANHAMENTO="PLE",$Q152&lt;&gt;2),$E153=0),"calculada","--&gt;"))</f>
        <v>vazia</v>
      </c>
      <c r="H153" s="252"/>
      <c r="I153" s="253" t="str">
        <f ca="1">IF(AND(G152&lt;&gt;0,ISNUMBER(G152)),"PREENCHA ESTA LINHA --&gt;","")</f>
        <v/>
      </c>
      <c r="J153" s="253"/>
      <c r="K153" s="253"/>
      <c r="L153" s="254"/>
      <c r="M153" s="254"/>
      <c r="N153" s="254"/>
      <c r="O153" s="254"/>
      <c r="P153" s="254"/>
      <c r="Q153" s="254"/>
      <c r="R153" s="255"/>
      <c r="S153" s="256"/>
      <c r="T153" s="620"/>
      <c r="U153" s="619"/>
      <c r="V153" s="619"/>
      <c r="W153" s="619"/>
      <c r="X153" s="619"/>
      <c r="Y153" s="619"/>
      <c r="Z153" s="619"/>
      <c r="AA153" s="619"/>
      <c r="AB153" s="619"/>
      <c r="AC153" s="619"/>
      <c r="AD153" s="619"/>
      <c r="AE153" s="621"/>
      <c r="AF153" s="579"/>
    </row>
    <row r="154" spans="1:32" ht="0.2" hidden="1" customHeight="1" x14ac:dyDescent="0.2">
      <c r="D154" s="257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8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8"/>
      <c r="R154" s="259" t="str">
        <f ca="1">L152&amp;"$"</f>
        <v>1$</v>
      </c>
      <c r="S154" s="260"/>
      <c r="T154" s="261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7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7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7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7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7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7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7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7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7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7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2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8">
        <f ca="1">OFFSET(A155,-3,0)+1</f>
        <v>48</v>
      </c>
      <c r="B155" s="238">
        <f ca="1">IF($Q155&lt;&gt;2,0,IF($R155=0,1,IF(E156&gt;0,OFFSET(QCI!$M$13,SUBSTITUTE(E156,".",""),0),OFFSET(ORÇAMENTO!$AA$15,CRONO!$E155,0))/$R155))</f>
        <v>0</v>
      </c>
      <c r="C155" s="238">
        <f ca="1">IF($Q155&lt;&gt;2,0,IF($R155=0,1,IF(E156&gt;0,OFFSET(QCI!$N$13,SUBSTITUTE(E156,".",""),0),OFFSET(ORÇAMENTO!$AB$15,CRONO!$E155,0))/$R155))</f>
        <v>0</v>
      </c>
      <c r="D155" s="241" t="e">
        <f ca="1">IF(AND($Q155=2,ACOMPANHAMENTO="BM"),D156,D157/$R155)</f>
        <v>#VALUE!</v>
      </c>
      <c r="E155" s="238" t="e">
        <f ca="1">IF(A155&lt;=ORÇAMENTO.MáximoListaCrono,MATCH(A155,ORÇAMENTO.ListaCrono,0),NA())</f>
        <v>#N/A</v>
      </c>
      <c r="F155" s="238" t="str">
        <f ca="1">IF(AND($E156&lt;&gt;-1,$R155&gt;0),"F","")</f>
        <v/>
      </c>
      <c r="G155" s="242" t="str">
        <f ca="1">IF(OR(R155=0,R155=""),"Linha",IF(AND(OR(ACOMPANHAMENTO="PLE",$Q155&lt;&gt;2),$E156=0),"Linha",1-SUM(T155:AF155)))</f>
        <v>Linha</v>
      </c>
      <c r="H155" s="243" t="str">
        <f ca="1">IF($E156=0,OFFSET(ORÇAMENTO!O$15,$E155,0),IF($E156&lt;&gt;-1,OFFSET(QCI!$D$13,$E156,0),""))</f>
        <v/>
      </c>
      <c r="I155" s="244" t="str">
        <f ca="1">IF($E156=0,OFFSET(ORÇAMENTO!R$15,$E155,0),IF($E156&lt;&gt;-1,OFFSET(QCI!$G$13,$E156,0),""))</f>
        <v/>
      </c>
      <c r="J155" s="244"/>
      <c r="K155" s="244"/>
      <c r="L155" s="245">
        <f ca="1">IF($E156=0,OFFSET(ORÇAMENTO!C$15,$E155,0),1)</f>
        <v>1</v>
      </c>
      <c r="M155" s="246">
        <f ca="1">IF($E156=-1,0,IF(M$13&lt;=$L155,IF(ISERROR(MATCH(M$13,OFFSET($L155,1,0,ROW($L$164)-ROW($L155)-1),0)),ROW($L$164)-ROW($L155)-1,MATCH(M$13,OFFSET($L155,1,0,ROW($L$164)-ROW($L155)-1),0)-1),0))</f>
        <v>0</v>
      </c>
      <c r="N155" s="246">
        <f ca="1">IF($E156=-1,0,IF(N$13&lt;=$L155,IF(ISERROR(MATCH(N$13,OFFSET($L155,1,0,ROW($L$164)-ROW($L155)-1),0)),ROW($L$164)-ROW($L155)-1,MATCH(N$13,OFFSET($L155,1,0,ROW($L$164)-ROW($L155)-1),0)-1),0))</f>
        <v>0</v>
      </c>
      <c r="O155" s="246">
        <f ca="1">IF($E156=-1,0,IF(O$13&lt;=$L155,IF(ISERROR(MATCH(O$13,OFFSET($L155,1,0,ROW($L$164)-ROW($L155)-1),0)),ROW($L$164)-ROW($L155)-1,MATCH(O$13,OFFSET($L155,1,0,ROW($L$164)-ROW($L155)-1),0)-1),0))</f>
        <v>0</v>
      </c>
      <c r="P155" s="246">
        <f ca="1">IF($E156=-1,0,IF(P$13&lt;=$L155,IF(ISERROR(MATCH(P$13,OFFSET($L155,1,0,ROW($L$164)-ROW($L155)-1),0)),ROW($L$164)-ROW($L155)-1,MATCH(P$13,OFFSET($L155,1,0,ROW($L$164)-ROW($L155)-1),0)-1),0))</f>
        <v>0</v>
      </c>
      <c r="Q155" s="246">
        <f ca="1">MIN(OFFSET(L155,0,1,,L155))</f>
        <v>0</v>
      </c>
      <c r="R155" s="247" t="str">
        <f ca="1">IF($E156=0,OFFSET(ORÇAMENTO!X$15,$E155,0),IF($E156&lt;&gt;-1,OFFSET(QCI!$O$13,$E156,0),""))</f>
        <v/>
      </c>
      <c r="S155" s="248" t="s">
        <v>269</v>
      </c>
      <c r="T155" s="249" t="e">
        <f t="shared" ref="T155:AE155" ca="1" si="50">IF(AND($Q155=2,ACOMPANHAMENTO="BM"),T156,T157/$R155)</f>
        <v>#VALUE!</v>
      </c>
      <c r="U155" s="241" t="e">
        <f t="shared" ca="1" si="50"/>
        <v>#VALUE!</v>
      </c>
      <c r="V155" s="241" t="e">
        <f t="shared" ca="1" si="50"/>
        <v>#VALUE!</v>
      </c>
      <c r="W155" s="241" t="e">
        <f t="shared" ca="1" si="50"/>
        <v>#VALUE!</v>
      </c>
      <c r="X155" s="241" t="e">
        <f t="shared" ca="1" si="50"/>
        <v>#VALUE!</v>
      </c>
      <c r="Y155" s="241" t="e">
        <f t="shared" ca="1" si="50"/>
        <v>#VALUE!</v>
      </c>
      <c r="Z155" s="241" t="e">
        <f t="shared" ca="1" si="50"/>
        <v>#VALUE!</v>
      </c>
      <c r="AA155" s="241" t="e">
        <f t="shared" ca="1" si="50"/>
        <v>#VALUE!</v>
      </c>
      <c r="AB155" s="241" t="e">
        <f t="shared" ca="1" si="50"/>
        <v>#VALUE!</v>
      </c>
      <c r="AC155" s="241" t="e">
        <f t="shared" ca="1" si="50"/>
        <v>#VALUE!</v>
      </c>
      <c r="AD155" s="241" t="e">
        <f t="shared" ca="1" si="50"/>
        <v>#VALUE!</v>
      </c>
      <c r="AE155" s="250" t="e">
        <f t="shared" ca="1" si="50"/>
        <v>#VALUE!</v>
      </c>
    </row>
    <row r="156" spans="1:32" ht="12.75" hidden="1" customHeight="1" x14ac:dyDescent="0.2">
      <c r="D156" s="619"/>
      <c r="E156" s="238">
        <f ca="1">IF(ISERROR(E155),IF(1+COUNTIF($L$13:OFFSET(L155,-1,0),1)&lt;=MAX(QCI!$D$13:$D$24),1+COUNTIF($L$13:OFFSET(L155,-1,0),1),-1),0)</f>
        <v>-1</v>
      </c>
      <c r="F156" s="238" t="str">
        <f ca="1">IF(AND($E156&lt;&gt;-1,$R155&gt;0),"F","")</f>
        <v/>
      </c>
      <c r="G156" s="251" t="str">
        <f ca="1">IF(OR(R155=0,R155=""),"vazia",IF(AND(OR(ACOMPANHAMENTO="PLE",$Q155&lt;&gt;2),$E156=0),"calculada","--&gt;"))</f>
        <v>vazia</v>
      </c>
      <c r="H156" s="252"/>
      <c r="I156" s="253" t="str">
        <f ca="1">IF(AND(G155&lt;&gt;0,ISNUMBER(G155)),"PREENCHA ESTA LINHA --&gt;","")</f>
        <v/>
      </c>
      <c r="J156" s="253"/>
      <c r="K156" s="253"/>
      <c r="L156" s="254"/>
      <c r="M156" s="254"/>
      <c r="N156" s="254"/>
      <c r="O156" s="254"/>
      <c r="P156" s="254"/>
      <c r="Q156" s="254"/>
      <c r="R156" s="255"/>
      <c r="S156" s="256"/>
      <c r="T156" s="620"/>
      <c r="U156" s="619"/>
      <c r="V156" s="619"/>
      <c r="W156" s="619"/>
      <c r="X156" s="619"/>
      <c r="Y156" s="619"/>
      <c r="Z156" s="619"/>
      <c r="AA156" s="619"/>
      <c r="AB156" s="619"/>
      <c r="AC156" s="619"/>
      <c r="AD156" s="619"/>
      <c r="AE156" s="621"/>
      <c r="AF156" s="579"/>
    </row>
    <row r="157" spans="1:32" ht="0.2" hidden="1" customHeight="1" x14ac:dyDescent="0.2">
      <c r="D157" s="257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8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8"/>
      <c r="R157" s="259" t="str">
        <f ca="1">L155&amp;"$"</f>
        <v>1$</v>
      </c>
      <c r="S157" s="260"/>
      <c r="T157" s="261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7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7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7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7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7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7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7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7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7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7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2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8">
        <f ca="1">OFFSET(A158,-3,0)+1</f>
        <v>49</v>
      </c>
      <c r="B158" s="238">
        <f ca="1">IF($Q158&lt;&gt;2,0,IF($R158=0,1,IF(E159&gt;0,OFFSET(QCI!$M$13,SUBSTITUTE(E159,".",""),0),OFFSET(ORÇAMENTO!$AA$15,CRONO!$E158,0))/$R158))</f>
        <v>0</v>
      </c>
      <c r="C158" s="238">
        <f ca="1">IF($Q158&lt;&gt;2,0,IF($R158=0,1,IF(E159&gt;0,OFFSET(QCI!$N$13,SUBSTITUTE(E159,".",""),0),OFFSET(ORÇAMENTO!$AB$15,CRONO!$E158,0))/$R158))</f>
        <v>0</v>
      </c>
      <c r="D158" s="241" t="e">
        <f ca="1">IF(AND($Q158=2,ACOMPANHAMENTO="BM"),D159,D160/$R158)</f>
        <v>#VALUE!</v>
      </c>
      <c r="E158" s="238" t="e">
        <f ca="1">IF(A158&lt;=ORÇAMENTO.MáximoListaCrono,MATCH(A158,ORÇAMENTO.ListaCrono,0),NA())</f>
        <v>#N/A</v>
      </c>
      <c r="F158" s="238" t="str">
        <f ca="1">IF(AND($E159&lt;&gt;-1,$R158&gt;0),"F","")</f>
        <v/>
      </c>
      <c r="G158" s="242" t="str">
        <f ca="1">IF(OR(R158=0,R158=""),"Linha",IF(AND(OR(ACOMPANHAMENTO="PLE",$Q158&lt;&gt;2),$E159=0),"Linha",1-SUM(T158:AF158)))</f>
        <v>Linha</v>
      </c>
      <c r="H158" s="243" t="str">
        <f ca="1">IF($E159=0,OFFSET(ORÇAMENTO!O$15,$E158,0),IF($E159&lt;&gt;-1,OFFSET(QCI!$D$13,$E159,0),""))</f>
        <v/>
      </c>
      <c r="I158" s="244" t="str">
        <f ca="1">IF($E159=0,OFFSET(ORÇAMENTO!R$15,$E158,0),IF($E159&lt;&gt;-1,OFFSET(QCI!$G$13,$E159,0),""))</f>
        <v/>
      </c>
      <c r="J158" s="244"/>
      <c r="K158" s="244"/>
      <c r="L158" s="245">
        <f ca="1">IF($E159=0,OFFSET(ORÇAMENTO!C$15,$E158,0),1)</f>
        <v>1</v>
      </c>
      <c r="M158" s="246">
        <f ca="1">IF($E159=-1,0,IF(M$13&lt;=$L158,IF(ISERROR(MATCH(M$13,OFFSET($L158,1,0,ROW($L$164)-ROW($L158)-1),0)),ROW($L$164)-ROW($L158)-1,MATCH(M$13,OFFSET($L158,1,0,ROW($L$164)-ROW($L158)-1),0)-1),0))</f>
        <v>0</v>
      </c>
      <c r="N158" s="246">
        <f ca="1">IF($E159=-1,0,IF(N$13&lt;=$L158,IF(ISERROR(MATCH(N$13,OFFSET($L158,1,0,ROW($L$164)-ROW($L158)-1),0)),ROW($L$164)-ROW($L158)-1,MATCH(N$13,OFFSET($L158,1,0,ROW($L$164)-ROW($L158)-1),0)-1),0))</f>
        <v>0</v>
      </c>
      <c r="O158" s="246">
        <f ca="1">IF($E159=-1,0,IF(O$13&lt;=$L158,IF(ISERROR(MATCH(O$13,OFFSET($L158,1,0,ROW($L$164)-ROW($L158)-1),0)),ROW($L$164)-ROW($L158)-1,MATCH(O$13,OFFSET($L158,1,0,ROW($L$164)-ROW($L158)-1),0)-1),0))</f>
        <v>0</v>
      </c>
      <c r="P158" s="246">
        <f ca="1">IF($E159=-1,0,IF(P$13&lt;=$L158,IF(ISERROR(MATCH(P$13,OFFSET($L158,1,0,ROW($L$164)-ROW($L158)-1),0)),ROW($L$164)-ROW($L158)-1,MATCH(P$13,OFFSET($L158,1,0,ROW($L$164)-ROW($L158)-1),0)-1),0))</f>
        <v>0</v>
      </c>
      <c r="Q158" s="246">
        <f ca="1">MIN(OFFSET(L158,0,1,,L158))</f>
        <v>0</v>
      </c>
      <c r="R158" s="247" t="str">
        <f ca="1">IF($E159=0,OFFSET(ORÇAMENTO!X$15,$E158,0),IF($E159&lt;&gt;-1,OFFSET(QCI!$O$13,$E159,0),""))</f>
        <v/>
      </c>
      <c r="S158" s="248" t="s">
        <v>269</v>
      </c>
      <c r="T158" s="249" t="e">
        <f t="shared" ref="T158:AE158" ca="1" si="51">IF(AND($Q158=2,ACOMPANHAMENTO="BM"),T159,T160/$R158)</f>
        <v>#VALUE!</v>
      </c>
      <c r="U158" s="241" t="e">
        <f t="shared" ca="1" si="51"/>
        <v>#VALUE!</v>
      </c>
      <c r="V158" s="241" t="e">
        <f t="shared" ca="1" si="51"/>
        <v>#VALUE!</v>
      </c>
      <c r="W158" s="241" t="e">
        <f t="shared" ca="1" si="51"/>
        <v>#VALUE!</v>
      </c>
      <c r="X158" s="241" t="e">
        <f t="shared" ca="1" si="51"/>
        <v>#VALUE!</v>
      </c>
      <c r="Y158" s="241" t="e">
        <f t="shared" ca="1" si="51"/>
        <v>#VALUE!</v>
      </c>
      <c r="Z158" s="241" t="e">
        <f t="shared" ca="1" si="51"/>
        <v>#VALUE!</v>
      </c>
      <c r="AA158" s="241" t="e">
        <f t="shared" ca="1" si="51"/>
        <v>#VALUE!</v>
      </c>
      <c r="AB158" s="241" t="e">
        <f t="shared" ca="1" si="51"/>
        <v>#VALUE!</v>
      </c>
      <c r="AC158" s="241" t="e">
        <f t="shared" ca="1" si="51"/>
        <v>#VALUE!</v>
      </c>
      <c r="AD158" s="241" t="e">
        <f t="shared" ca="1" si="51"/>
        <v>#VALUE!</v>
      </c>
      <c r="AE158" s="250" t="e">
        <f t="shared" ca="1" si="51"/>
        <v>#VALUE!</v>
      </c>
    </row>
    <row r="159" spans="1:32" ht="12.75" hidden="1" customHeight="1" x14ac:dyDescent="0.2">
      <c r="D159" s="619"/>
      <c r="E159" s="238">
        <f ca="1">IF(ISERROR(E158),IF(1+COUNTIF($L$13:OFFSET(L158,-1,0),1)&lt;=MAX(QCI!$D$13:$D$24),1+COUNTIF($L$13:OFFSET(L158,-1,0),1),-1),0)</f>
        <v>-1</v>
      </c>
      <c r="F159" s="238" t="str">
        <f ca="1">IF(AND($E159&lt;&gt;-1,$R158&gt;0),"F","")</f>
        <v/>
      </c>
      <c r="G159" s="251" t="str">
        <f ca="1">IF(OR(R158=0,R158=""),"vazia",IF(AND(OR(ACOMPANHAMENTO="PLE",$Q158&lt;&gt;2),$E159=0),"calculada","--&gt;"))</f>
        <v>vazia</v>
      </c>
      <c r="H159" s="252"/>
      <c r="I159" s="253" t="str">
        <f ca="1">IF(AND(G158&lt;&gt;0,ISNUMBER(G158)),"PREENCHA ESTA LINHA --&gt;","")</f>
        <v/>
      </c>
      <c r="J159" s="253"/>
      <c r="K159" s="253"/>
      <c r="L159" s="254"/>
      <c r="M159" s="254"/>
      <c r="N159" s="254"/>
      <c r="O159" s="254"/>
      <c r="P159" s="254"/>
      <c r="Q159" s="254"/>
      <c r="R159" s="255"/>
      <c r="S159" s="256"/>
      <c r="T159" s="620"/>
      <c r="U159" s="619"/>
      <c r="V159" s="619"/>
      <c r="W159" s="619"/>
      <c r="X159" s="619"/>
      <c r="Y159" s="619"/>
      <c r="Z159" s="619"/>
      <c r="AA159" s="619"/>
      <c r="AB159" s="619"/>
      <c r="AC159" s="619"/>
      <c r="AD159" s="619"/>
      <c r="AE159" s="621"/>
      <c r="AF159" s="579"/>
    </row>
    <row r="160" spans="1:32" ht="0.2" hidden="1" customHeight="1" x14ac:dyDescent="0.2">
      <c r="D160" s="257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8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8"/>
      <c r="R160" s="259" t="str">
        <f ca="1">L158&amp;"$"</f>
        <v>1$</v>
      </c>
      <c r="S160" s="260"/>
      <c r="T160" s="261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7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7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7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7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7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7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7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7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7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7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2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8">
        <f ca="1">OFFSET(A161,-3,0)+1</f>
        <v>50</v>
      </c>
      <c r="B161" s="238">
        <f ca="1">IF($Q161&lt;&gt;2,0,IF($R161=0,1,IF(E162&gt;0,OFFSET(QCI!$M$13,SUBSTITUTE(E162,".",""),0),OFFSET(ORÇAMENTO!$AA$15,CRONO!$E161,0))/$R161))</f>
        <v>0</v>
      </c>
      <c r="C161" s="238">
        <f ca="1">IF($Q161&lt;&gt;2,0,IF($R161=0,1,IF(E162&gt;0,OFFSET(QCI!$N$13,SUBSTITUTE(E162,".",""),0),OFFSET(ORÇAMENTO!$AB$15,CRONO!$E161,0))/$R161))</f>
        <v>0</v>
      </c>
      <c r="D161" s="241" t="e">
        <f ca="1">IF(AND($Q161=2,ACOMPANHAMENTO="BM"),D162,D163/$R161)</f>
        <v>#VALUE!</v>
      </c>
      <c r="E161" s="238" t="e">
        <f ca="1">IF(A161&lt;=ORÇAMENTO.MáximoListaCrono,MATCH(A161,ORÇAMENTO.ListaCrono,0),NA())</f>
        <v>#N/A</v>
      </c>
      <c r="F161" s="238" t="str">
        <f ca="1">IF(AND($E162&lt;&gt;-1,$R161&gt;0),"F","")</f>
        <v/>
      </c>
      <c r="G161" s="242" t="str">
        <f ca="1">IF(OR(R161=0,R161=""),"Linha",IF(AND(OR(ACOMPANHAMENTO="PLE",$Q161&lt;&gt;2),$E162=0),"Linha",1-SUM(T161:AF161)))</f>
        <v>Linha</v>
      </c>
      <c r="H161" s="243" t="str">
        <f ca="1">IF($E162=0,OFFSET(ORÇAMENTO!O$15,$E161,0),IF($E162&lt;&gt;-1,OFFSET(QCI!$D$13,$E162,0),""))</f>
        <v/>
      </c>
      <c r="I161" s="244" t="str">
        <f ca="1">IF($E162=0,OFFSET(ORÇAMENTO!R$15,$E161,0),IF($E162&lt;&gt;-1,OFFSET(QCI!$G$13,$E162,0),""))</f>
        <v/>
      </c>
      <c r="J161" s="244"/>
      <c r="K161" s="244"/>
      <c r="L161" s="245">
        <f ca="1">IF($E162=0,OFFSET(ORÇAMENTO!C$15,$E161,0),1)</f>
        <v>1</v>
      </c>
      <c r="M161" s="246">
        <f ca="1">IF($E162=-1,0,IF(M$13&lt;=$L161,IF(ISERROR(MATCH(M$13,OFFSET($L161,1,0,ROW($L$164)-ROW($L161)-1),0)),ROW($L$164)-ROW($L161)-1,MATCH(M$13,OFFSET($L161,1,0,ROW($L$164)-ROW($L161)-1),0)-1),0))</f>
        <v>0</v>
      </c>
      <c r="N161" s="246">
        <f ca="1">IF($E162=-1,0,IF(N$13&lt;=$L161,IF(ISERROR(MATCH(N$13,OFFSET($L161,1,0,ROW($L$164)-ROW($L161)-1),0)),ROW($L$164)-ROW($L161)-1,MATCH(N$13,OFFSET($L161,1,0,ROW($L$164)-ROW($L161)-1),0)-1),0))</f>
        <v>0</v>
      </c>
      <c r="O161" s="246">
        <f ca="1">IF($E162=-1,0,IF(O$13&lt;=$L161,IF(ISERROR(MATCH(O$13,OFFSET($L161,1,0,ROW($L$164)-ROW($L161)-1),0)),ROW($L$164)-ROW($L161)-1,MATCH(O$13,OFFSET($L161,1,0,ROW($L$164)-ROW($L161)-1),0)-1),0))</f>
        <v>0</v>
      </c>
      <c r="P161" s="246">
        <f ca="1">IF($E162=-1,0,IF(P$13&lt;=$L161,IF(ISERROR(MATCH(P$13,OFFSET($L161,1,0,ROW($L$164)-ROW($L161)-1),0)),ROW($L$164)-ROW($L161)-1,MATCH(P$13,OFFSET($L161,1,0,ROW($L$164)-ROW($L161)-1),0)-1),0))</f>
        <v>0</v>
      </c>
      <c r="Q161" s="246">
        <f ca="1">MIN(OFFSET(L161,0,1,,L161))</f>
        <v>0</v>
      </c>
      <c r="R161" s="247" t="str">
        <f ca="1">IF($E162=0,OFFSET(ORÇAMENTO!X$15,$E161,0),IF($E162&lt;&gt;-1,OFFSET(QCI!$O$13,$E162,0),""))</f>
        <v/>
      </c>
      <c r="S161" s="248" t="s">
        <v>269</v>
      </c>
      <c r="T161" s="249" t="e">
        <f t="shared" ref="T161:AE161" ca="1" si="52">IF(AND($Q161=2,ACOMPANHAMENTO="BM"),T162,T163/$R161)</f>
        <v>#VALUE!</v>
      </c>
      <c r="U161" s="241" t="e">
        <f t="shared" ca="1" si="52"/>
        <v>#VALUE!</v>
      </c>
      <c r="V161" s="241" t="e">
        <f t="shared" ca="1" si="52"/>
        <v>#VALUE!</v>
      </c>
      <c r="W161" s="241" t="e">
        <f t="shared" ca="1" si="52"/>
        <v>#VALUE!</v>
      </c>
      <c r="X161" s="241" t="e">
        <f t="shared" ca="1" si="52"/>
        <v>#VALUE!</v>
      </c>
      <c r="Y161" s="241" t="e">
        <f t="shared" ca="1" si="52"/>
        <v>#VALUE!</v>
      </c>
      <c r="Z161" s="241" t="e">
        <f t="shared" ca="1" si="52"/>
        <v>#VALUE!</v>
      </c>
      <c r="AA161" s="241" t="e">
        <f t="shared" ca="1" si="52"/>
        <v>#VALUE!</v>
      </c>
      <c r="AB161" s="241" t="e">
        <f t="shared" ca="1" si="52"/>
        <v>#VALUE!</v>
      </c>
      <c r="AC161" s="241" t="e">
        <f t="shared" ca="1" si="52"/>
        <v>#VALUE!</v>
      </c>
      <c r="AD161" s="241" t="e">
        <f t="shared" ca="1" si="52"/>
        <v>#VALUE!</v>
      </c>
      <c r="AE161" s="250" t="e">
        <f t="shared" ca="1" si="52"/>
        <v>#VALUE!</v>
      </c>
    </row>
    <row r="162" spans="1:32" ht="12.75" hidden="1" customHeight="1" x14ac:dyDescent="0.2">
      <c r="D162" s="619"/>
      <c r="E162" s="238">
        <f ca="1">IF(ISERROR(E161),IF(1+COUNTIF($L$13:OFFSET(L161,-1,0),1)&lt;=MAX(QCI!$D$13:$D$24),1+COUNTIF($L$13:OFFSET(L161,-1,0),1),-1),0)</f>
        <v>-1</v>
      </c>
      <c r="F162" s="238" t="str">
        <f ca="1">IF(AND($E162&lt;&gt;-1,$R161&gt;0),"F","")</f>
        <v/>
      </c>
      <c r="G162" s="251" t="str">
        <f ca="1">IF(OR(R161=0,R161=""),"vazia",IF(AND(OR(ACOMPANHAMENTO="PLE",$Q161&lt;&gt;2),$E162=0),"calculada","--&gt;"))</f>
        <v>vazia</v>
      </c>
      <c r="H162" s="252"/>
      <c r="I162" s="253" t="str">
        <f ca="1">IF(AND(G161&lt;&gt;0,ISNUMBER(G161)),"PREENCHA ESTA LINHA --&gt;","")</f>
        <v/>
      </c>
      <c r="J162" s="253"/>
      <c r="K162" s="253"/>
      <c r="L162" s="254"/>
      <c r="M162" s="254"/>
      <c r="N162" s="254"/>
      <c r="O162" s="254"/>
      <c r="P162" s="254"/>
      <c r="Q162" s="254"/>
      <c r="R162" s="255"/>
      <c r="S162" s="256"/>
      <c r="T162" s="620"/>
      <c r="U162" s="619"/>
      <c r="V162" s="619"/>
      <c r="W162" s="619"/>
      <c r="X162" s="619"/>
      <c r="Y162" s="619"/>
      <c r="Z162" s="619"/>
      <c r="AA162" s="619"/>
      <c r="AB162" s="619"/>
      <c r="AC162" s="619"/>
      <c r="AD162" s="619"/>
      <c r="AE162" s="621"/>
      <c r="AF162" s="579"/>
    </row>
    <row r="163" spans="1:32" ht="0.2" hidden="1" customHeight="1" x14ac:dyDescent="0.2">
      <c r="D163" s="257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8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8"/>
      <c r="R163" s="259" t="str">
        <f ca="1">L161&amp;"$"</f>
        <v>1$</v>
      </c>
      <c r="S163" s="260"/>
      <c r="T163" s="261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7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7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7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7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7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7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7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7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7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7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2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3"/>
      <c r="F164" s="238" t="s">
        <v>245</v>
      </c>
      <c r="G164" s="555"/>
      <c r="H164" s="556"/>
      <c r="I164" s="557"/>
      <c r="J164" s="557"/>
      <c r="K164" s="557"/>
      <c r="L164" s="558" t="s">
        <v>280</v>
      </c>
      <c r="M164" s="558"/>
      <c r="N164" s="558"/>
      <c r="O164" s="558"/>
      <c r="P164" s="558"/>
      <c r="Q164" s="558"/>
      <c r="R164" s="559"/>
      <c r="S164" s="559"/>
      <c r="T164" s="557"/>
      <c r="U164" s="557"/>
      <c r="V164" s="557"/>
      <c r="W164" s="557"/>
      <c r="X164" s="557"/>
      <c r="Y164" s="557"/>
      <c r="Z164" s="557"/>
      <c r="AA164" s="557"/>
      <c r="AB164" s="557"/>
      <c r="AC164" s="557"/>
      <c r="AD164" s="557"/>
      <c r="AE164" s="560"/>
      <c r="AF164" s="554"/>
    </row>
    <row r="165" spans="1:32" ht="12.75" customHeight="1" x14ac:dyDescent="0.2">
      <c r="D165" s="289">
        <f ca="1">D169/$Q$165</f>
        <v>0</v>
      </c>
      <c r="F165" s="238" t="s">
        <v>245</v>
      </c>
      <c r="H165" s="724" t="str">
        <f ca="1">"Total:    R$ "&amp;TEXT(Q165,"#.##0,00")</f>
        <v>Total:    R$ 192.352,07</v>
      </c>
      <c r="I165" s="724"/>
      <c r="J165" s="724"/>
      <c r="K165" s="290"/>
      <c r="Q165" s="291">
        <f ca="1">SUMIF(L12:L164,1,R12:R164)</f>
        <v>192352.07</v>
      </c>
      <c r="R165" s="292"/>
      <c r="S165" s="293" t="s">
        <v>281</v>
      </c>
      <c r="T165" s="294">
        <f t="shared" ref="T165:AE165" ca="1" si="53">ROUND(T169,2)/$Q$165</f>
        <v>0.89794209129124514</v>
      </c>
      <c r="U165" s="295">
        <f t="shared" ca="1" si="53"/>
        <v>0.10205790870875472</v>
      </c>
      <c r="V165" s="295">
        <f t="shared" ca="1" si="53"/>
        <v>0</v>
      </c>
      <c r="W165" s="295">
        <f t="shared" ca="1" si="53"/>
        <v>0</v>
      </c>
      <c r="X165" s="295">
        <f t="shared" ca="1" si="53"/>
        <v>0</v>
      </c>
      <c r="Y165" s="295">
        <f t="shared" ca="1" si="53"/>
        <v>0</v>
      </c>
      <c r="Z165" s="295">
        <f t="shared" ca="1" si="53"/>
        <v>0</v>
      </c>
      <c r="AA165" s="295">
        <f t="shared" ca="1" si="53"/>
        <v>0</v>
      </c>
      <c r="AB165" s="295">
        <f t="shared" ca="1" si="53"/>
        <v>0</v>
      </c>
      <c r="AC165" s="295">
        <f t="shared" ca="1" si="53"/>
        <v>0</v>
      </c>
      <c r="AD165" s="295">
        <f t="shared" ca="1" si="53"/>
        <v>0</v>
      </c>
      <c r="AE165" s="296">
        <f t="shared" ca="1" si="53"/>
        <v>0</v>
      </c>
    </row>
    <row r="166" spans="1:32" ht="15" customHeight="1" x14ac:dyDescent="0.2">
      <c r="D166" s="297">
        <f ca="1">ROUND(D171,2)-ROUND(C171,2)</f>
        <v>0</v>
      </c>
      <c r="F166" s="238" t="s">
        <v>245</v>
      </c>
      <c r="H166" s="724"/>
      <c r="I166" s="724"/>
      <c r="J166" s="724"/>
      <c r="K166" s="298"/>
      <c r="Q166" s="291"/>
      <c r="R166" s="299"/>
      <c r="S166" s="300" t="str">
        <f>IF(import.recurso="FGTS","Financiamento:","Repasse:")</f>
        <v>Repasse:</v>
      </c>
      <c r="T166" s="301">
        <f ca="1">ROUND(T171,2)</f>
        <v>0</v>
      </c>
      <c r="U166" s="297">
        <f t="shared" ref="U166:AE166" ca="1" si="54">ROUND(U171,2)-ROUND(T171,2)</f>
        <v>0</v>
      </c>
      <c r="V166" s="297">
        <f t="shared" ca="1" si="54"/>
        <v>0</v>
      </c>
      <c r="W166" s="297">
        <f t="shared" ca="1" si="54"/>
        <v>0</v>
      </c>
      <c r="X166" s="297">
        <f t="shared" ca="1" si="54"/>
        <v>0</v>
      </c>
      <c r="Y166" s="297">
        <f t="shared" ca="1" si="54"/>
        <v>0</v>
      </c>
      <c r="Z166" s="297">
        <f t="shared" ca="1" si="54"/>
        <v>0</v>
      </c>
      <c r="AA166" s="297">
        <f t="shared" ca="1" si="54"/>
        <v>0</v>
      </c>
      <c r="AB166" s="297">
        <f t="shared" ca="1" si="54"/>
        <v>0</v>
      </c>
      <c r="AC166" s="297">
        <f t="shared" ca="1" si="54"/>
        <v>0</v>
      </c>
      <c r="AD166" s="297">
        <f t="shared" ca="1" si="54"/>
        <v>0</v>
      </c>
      <c r="AE166" s="302">
        <f t="shared" ca="1" si="54"/>
        <v>0</v>
      </c>
    </row>
    <row r="167" spans="1:32" ht="12.75" customHeight="1" x14ac:dyDescent="0.2">
      <c r="D167" s="297">
        <f ca="1">ROUND(D172,2)-ROUND(C172,2)</f>
        <v>0</v>
      </c>
      <c r="F167" s="238" t="s">
        <v>245</v>
      </c>
      <c r="H167" s="303"/>
      <c r="K167" s="304" t="s">
        <v>282</v>
      </c>
      <c r="Q167" s="291"/>
      <c r="R167" s="305"/>
      <c r="S167" s="306" t="s">
        <v>283</v>
      </c>
      <c r="T167" s="307">
        <f ca="1">ROUND(T172,2)</f>
        <v>172721.02</v>
      </c>
      <c r="U167" s="308">
        <f t="shared" ref="U167:AE167" ca="1" si="55">ROUND(U172,2)-ROUND(T172,2)</f>
        <v>19631.050000000017</v>
      </c>
      <c r="V167" s="308">
        <f t="shared" ca="1" si="55"/>
        <v>0</v>
      </c>
      <c r="W167" s="308">
        <f t="shared" ca="1" si="55"/>
        <v>0</v>
      </c>
      <c r="X167" s="308">
        <f t="shared" ca="1" si="55"/>
        <v>0</v>
      </c>
      <c r="Y167" s="308">
        <f t="shared" ca="1" si="55"/>
        <v>0</v>
      </c>
      <c r="Z167" s="308">
        <f t="shared" ca="1" si="55"/>
        <v>0</v>
      </c>
      <c r="AA167" s="308">
        <f t="shared" ca="1" si="55"/>
        <v>0</v>
      </c>
      <c r="AB167" s="308">
        <f t="shared" ca="1" si="55"/>
        <v>0</v>
      </c>
      <c r="AC167" s="308">
        <f t="shared" ca="1" si="55"/>
        <v>0</v>
      </c>
      <c r="AD167" s="308">
        <f t="shared" ca="1" si="55"/>
        <v>0</v>
      </c>
      <c r="AE167" s="309">
        <f t="shared" ca="1" si="55"/>
        <v>0</v>
      </c>
    </row>
    <row r="168" spans="1:32" x14ac:dyDescent="0.2">
      <c r="D168" s="310">
        <f ca="1">ROUND(D173,2)-ROUND(C173,2)</f>
        <v>0</v>
      </c>
      <c r="F168" s="238" t="s">
        <v>245</v>
      </c>
      <c r="H168" s="303"/>
      <c r="K168" s="304"/>
      <c r="Q168" s="291"/>
      <c r="R168" s="311"/>
      <c r="S168" s="312" t="s">
        <v>284</v>
      </c>
      <c r="T168" s="313">
        <f ca="1">ROUND(T173,2)</f>
        <v>0</v>
      </c>
      <c r="U168" s="310">
        <f t="shared" ref="U168:AE168" ca="1" si="56">ROUND(U173,2)-ROUND(T173,2)</f>
        <v>0</v>
      </c>
      <c r="V168" s="310">
        <f t="shared" ca="1" si="56"/>
        <v>0</v>
      </c>
      <c r="W168" s="310">
        <f t="shared" ca="1" si="56"/>
        <v>0</v>
      </c>
      <c r="X168" s="310">
        <f t="shared" ca="1" si="56"/>
        <v>0</v>
      </c>
      <c r="Y168" s="310">
        <f t="shared" ca="1" si="56"/>
        <v>0</v>
      </c>
      <c r="Z168" s="310">
        <f t="shared" ca="1" si="56"/>
        <v>0</v>
      </c>
      <c r="AA168" s="310">
        <f t="shared" ca="1" si="56"/>
        <v>0</v>
      </c>
      <c r="AB168" s="310">
        <f t="shared" ca="1" si="56"/>
        <v>0</v>
      </c>
      <c r="AC168" s="310">
        <f t="shared" ca="1" si="56"/>
        <v>0</v>
      </c>
      <c r="AD168" s="310">
        <f t="shared" ca="1" si="56"/>
        <v>0</v>
      </c>
      <c r="AE168" s="314">
        <f t="shared" ca="1" si="56"/>
        <v>0</v>
      </c>
    </row>
    <row r="169" spans="1:32" x14ac:dyDescent="0.2">
      <c r="D169" s="315">
        <f ca="1">ROUND(D174,2)-ROUND(C174,2)</f>
        <v>0</v>
      </c>
      <c r="F169" s="238" t="s">
        <v>245</v>
      </c>
      <c r="K169" s="316"/>
      <c r="R169" s="317"/>
      <c r="S169" s="318" t="s">
        <v>285</v>
      </c>
      <c r="T169" s="319">
        <f ca="1">ROUND(T174,2)</f>
        <v>172721.02</v>
      </c>
      <c r="U169" s="320">
        <f t="shared" ref="U169:AE169" ca="1" si="57">ROUND(U174,2)-ROUND(T174,2)</f>
        <v>19631.050000000017</v>
      </c>
      <c r="V169" s="320">
        <f t="shared" ca="1" si="57"/>
        <v>0</v>
      </c>
      <c r="W169" s="320">
        <f t="shared" ca="1" si="57"/>
        <v>0</v>
      </c>
      <c r="X169" s="320">
        <f t="shared" ca="1" si="57"/>
        <v>0</v>
      </c>
      <c r="Y169" s="320">
        <f t="shared" ca="1" si="57"/>
        <v>0</v>
      </c>
      <c r="Z169" s="320">
        <f t="shared" ca="1" si="57"/>
        <v>0</v>
      </c>
      <c r="AA169" s="320">
        <f t="shared" ca="1" si="57"/>
        <v>0</v>
      </c>
      <c r="AB169" s="320">
        <f t="shared" ca="1" si="57"/>
        <v>0</v>
      </c>
      <c r="AC169" s="320">
        <f t="shared" ca="1" si="57"/>
        <v>0</v>
      </c>
      <c r="AD169" s="320">
        <f t="shared" ca="1" si="57"/>
        <v>0</v>
      </c>
      <c r="AE169" s="321">
        <f t="shared" ca="1" si="57"/>
        <v>0</v>
      </c>
    </row>
    <row r="170" spans="1:32" x14ac:dyDescent="0.2">
      <c r="D170" s="289">
        <f ca="1">D174/$Q$165</f>
        <v>0</v>
      </c>
      <c r="F170" s="238" t="s">
        <v>245</v>
      </c>
      <c r="K170" s="290"/>
      <c r="R170" s="292"/>
      <c r="S170" s="293" t="s">
        <v>281</v>
      </c>
      <c r="T170" s="294">
        <f ca="1">ROUND(T174,2)/$Q$165</f>
        <v>0.89794209129124514</v>
      </c>
      <c r="U170" s="295">
        <f t="shared" ref="U170:AE170" ca="1" si="58">ROUND(U174,2)/$Q$165</f>
        <v>1</v>
      </c>
      <c r="V170" s="295">
        <f t="shared" ca="1" si="58"/>
        <v>1</v>
      </c>
      <c r="W170" s="295">
        <f t="shared" ca="1" si="58"/>
        <v>1</v>
      </c>
      <c r="X170" s="295">
        <f t="shared" ca="1" si="58"/>
        <v>1</v>
      </c>
      <c r="Y170" s="295">
        <f t="shared" ca="1" si="58"/>
        <v>1</v>
      </c>
      <c r="Z170" s="295">
        <f t="shared" ca="1" si="58"/>
        <v>1</v>
      </c>
      <c r="AA170" s="295">
        <f t="shared" ca="1" si="58"/>
        <v>1</v>
      </c>
      <c r="AB170" s="295">
        <f t="shared" ca="1" si="58"/>
        <v>1</v>
      </c>
      <c r="AC170" s="295">
        <f t="shared" ca="1" si="58"/>
        <v>1</v>
      </c>
      <c r="AD170" s="295">
        <f t="shared" ca="1" si="58"/>
        <v>1</v>
      </c>
      <c r="AE170" s="296">
        <f t="shared" ca="1" si="58"/>
        <v>1</v>
      </c>
    </row>
    <row r="171" spans="1:32" x14ac:dyDescent="0.2">
      <c r="D171" s="297">
        <f ca="1">ROUND(D174-D173-D172,2)</f>
        <v>0</v>
      </c>
      <c r="F171" s="238" t="s">
        <v>245</v>
      </c>
      <c r="K171" s="298"/>
      <c r="R171" s="299"/>
      <c r="S171" s="300" t="str">
        <f>IF(import.recurso="FGTS","Financiamento:","Repasse:")</f>
        <v>Repasse:</v>
      </c>
      <c r="T171" s="301">
        <f ca="1">ROUND(T174-T173-T172,2)</f>
        <v>0</v>
      </c>
      <c r="U171" s="297">
        <f t="shared" ref="U171:AE171" ca="1" si="59">ROUND(U174-U173-U172,2)</f>
        <v>0</v>
      </c>
      <c r="V171" s="297">
        <f t="shared" ca="1" si="59"/>
        <v>0</v>
      </c>
      <c r="W171" s="297">
        <f t="shared" ca="1" si="59"/>
        <v>0</v>
      </c>
      <c r="X171" s="297">
        <f t="shared" ca="1" si="59"/>
        <v>0</v>
      </c>
      <c r="Y171" s="297">
        <f t="shared" ca="1" si="59"/>
        <v>0</v>
      </c>
      <c r="Z171" s="297">
        <f t="shared" ca="1" si="59"/>
        <v>0</v>
      </c>
      <c r="AA171" s="297">
        <f t="shared" ca="1" si="59"/>
        <v>0</v>
      </c>
      <c r="AB171" s="297">
        <f t="shared" ca="1" si="59"/>
        <v>0</v>
      </c>
      <c r="AC171" s="297">
        <f t="shared" ca="1" si="59"/>
        <v>0</v>
      </c>
      <c r="AD171" s="297">
        <f t="shared" ca="1" si="59"/>
        <v>0</v>
      </c>
      <c r="AE171" s="302">
        <f t="shared" ca="1" si="59"/>
        <v>0</v>
      </c>
      <c r="AF171" s="239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7">
        <f t="array" aca="1" ref="D172" ca="1">C172+SUM((OFFSET($B$13,1,0):OFFSET($B$164,-3,0))*IF(ISNUMBER(OFFSET(D$11,5,0):OFFSET(D$164,-1,0)),OFFSET(D$11,5,0):OFFSET(D$164,-1,0),0))</f>
        <v>0</v>
      </c>
      <c r="F172" s="238" t="s">
        <v>245</v>
      </c>
      <c r="K172" s="304" t="s">
        <v>286</v>
      </c>
      <c r="R172" s="305"/>
      <c r="S172" s="306" t="s">
        <v>283</v>
      </c>
      <c r="T172" s="307">
        <f t="array" aca="1" ref="T172" ca="1">SUM((OFFSET($B$13,1,0):OFFSET($B$164,-3,0))*IF(ISNUMBER(OFFSET(T$11,5,0):OFFSET(T$164,-1,0)),OFFSET(T$11,5,0):OFFSET(T$164,-1,0),0))</f>
        <v>172721.02000000002</v>
      </c>
      <c r="U172" s="308">
        <f t="array" aca="1" ref="U172" ca="1">T172+SUM((OFFSET($B$13,1,0):OFFSET($B$164,-3,0))*IF(ISNUMBER(OFFSET(U$11,5,0):OFFSET(U$164,-1,0)),OFFSET(U$11,5,0):OFFSET(U$164,-1,0),0))</f>
        <v>192352.07</v>
      </c>
      <c r="V172" s="308">
        <f t="array" aca="1" ref="V172" ca="1">U172+SUM((OFFSET($B$13,1,0):OFFSET($B$164,-3,0))*IF(ISNUMBER(OFFSET(V$11,5,0):OFFSET(V$164,-1,0)),OFFSET(V$11,5,0):OFFSET(V$164,-1,0),0))</f>
        <v>192352.07</v>
      </c>
      <c r="W172" s="308">
        <f t="array" aca="1" ref="W172" ca="1">V172+SUM((OFFSET($B$13,1,0):OFFSET($B$164,-3,0))*IF(ISNUMBER(OFFSET(W$11,5,0):OFFSET(W$164,-1,0)),OFFSET(W$11,5,0):OFFSET(W$164,-1,0),0))</f>
        <v>192352.07</v>
      </c>
      <c r="X172" s="308">
        <f t="array" aca="1" ref="X172" ca="1">W172+SUM((OFFSET($B$13,1,0):OFFSET($B$164,-3,0))*IF(ISNUMBER(OFFSET(X$11,5,0):OFFSET(X$164,-1,0)),OFFSET(X$11,5,0):OFFSET(X$164,-1,0),0))</f>
        <v>192352.07</v>
      </c>
      <c r="Y172" s="308">
        <f t="array" aca="1" ref="Y172" ca="1">X172+SUM((OFFSET($B$13,1,0):OFFSET($B$164,-3,0))*IF(ISNUMBER(OFFSET(Y$11,5,0):OFFSET(Y$164,-1,0)),OFFSET(Y$11,5,0):OFFSET(Y$164,-1,0),0))</f>
        <v>192352.07</v>
      </c>
      <c r="Z172" s="308">
        <f t="array" aca="1" ref="Z172" ca="1">Y172+SUM((OFFSET($B$13,1,0):OFFSET($B$164,-3,0))*IF(ISNUMBER(OFFSET(Z$11,5,0):OFFSET(Z$164,-1,0)),OFFSET(Z$11,5,0):OFFSET(Z$164,-1,0),0))</f>
        <v>192352.07</v>
      </c>
      <c r="AA172" s="308">
        <f t="array" aca="1" ref="AA172" ca="1">Z172+SUM((OFFSET($B$13,1,0):OFFSET($B$164,-3,0))*IF(ISNUMBER(OFFSET(AA$11,5,0):OFFSET(AA$164,-1,0)),OFFSET(AA$11,5,0):OFFSET(AA$164,-1,0),0))</f>
        <v>192352.07</v>
      </c>
      <c r="AB172" s="308">
        <f t="array" aca="1" ref="AB172" ca="1">AA172+SUM((OFFSET($B$13,1,0):OFFSET($B$164,-3,0))*IF(ISNUMBER(OFFSET(AB$11,5,0):OFFSET(AB$164,-1,0)),OFFSET(AB$11,5,0):OFFSET(AB$164,-1,0),0))</f>
        <v>192352.07</v>
      </c>
      <c r="AC172" s="308">
        <f t="array" aca="1" ref="AC172" ca="1">AB172+SUM((OFFSET($B$13,1,0):OFFSET($B$164,-3,0))*IF(ISNUMBER(OFFSET(AC$11,5,0):OFFSET(AC$164,-1,0)),OFFSET(AC$11,5,0):OFFSET(AC$164,-1,0),0))</f>
        <v>192352.07</v>
      </c>
      <c r="AD172" s="308">
        <f t="array" aca="1" ref="AD172" ca="1">AC172+SUM((OFFSET($B$13,1,0):OFFSET($B$164,-3,0))*IF(ISNUMBER(OFFSET(AD$11,5,0):OFFSET(AD$164,-1,0)),OFFSET(AD$11,5,0):OFFSET(AD$164,-1,0),0))</f>
        <v>192352.07</v>
      </c>
      <c r="AE172" s="309">
        <f t="array" aca="1" ref="AE172" ca="1">AD172+SUM((OFFSET($B$13,1,0):OFFSET($B$164,-3,0))*IF(ISNUMBER(OFFSET(AE$11,5,0):OFFSET(AE$164,-1,0)),OFFSET(AE$11,5,0):OFFSET(AE$164,-1,0),0))</f>
        <v>192352.07</v>
      </c>
      <c r="AF172" s="239">
        <f ca="1">AE172+SUMPRODUCT((OFFSET($C$13,1,0):OFFSET($C$164,-3,0))*IF(ISNUMBER(OFFSET(AF$11,5,0):OFFSET(AF$164,-1,0)),OFFSET(AF$11,5,0):OFFSET(AF$164,-1,0),0))</f>
        <v>192352.07</v>
      </c>
    </row>
    <row r="173" spans="1:32" x14ac:dyDescent="0.2">
      <c r="D173" s="310">
        <f t="array" aca="1" ref="D173" ca="1">C173+SUM((OFFSET($C$13,1,0):OFFSET($C$164,-3,0))*IF(ISNUMBER(OFFSET(D$11,5,0):OFFSET(D$164,-1,0)),OFFSET(D$11,5,0):OFFSET(D$164,-1,0),0))</f>
        <v>0</v>
      </c>
      <c r="F173" s="238" t="s">
        <v>245</v>
      </c>
      <c r="K173" s="304"/>
      <c r="R173" s="311"/>
      <c r="S173" s="312" t="s">
        <v>284</v>
      </c>
      <c r="T173" s="313">
        <f t="array" aca="1" ref="T173" ca="1">SUM((OFFSET($C$13,1,0):OFFSET($C$164,-3,0))*IF(ISNUMBER(OFFSET(T$11,5,0):OFFSET(T$164,-1,0)),OFFSET(T$11,5,0):OFFSET(T$164,-1,0),0))</f>
        <v>0</v>
      </c>
      <c r="U173" s="310">
        <f t="array" aca="1" ref="U173" ca="1">T173+SUM((OFFSET($C$13,1,0):OFFSET($C$164,-3,0))*IF(ISNUMBER(OFFSET(U$11,5,0):OFFSET(U$164,-1,0)),OFFSET(U$11,5,0):OFFSET(U$164,-1,0),0))</f>
        <v>0</v>
      </c>
      <c r="V173" s="310">
        <f t="array" aca="1" ref="V173" ca="1">U173+SUM((OFFSET($C$13,1,0):OFFSET($C$164,-3,0))*IF(ISNUMBER(OFFSET(V$11,5,0):OFFSET(V$164,-1,0)),OFFSET(V$11,5,0):OFFSET(V$164,-1,0),0))</f>
        <v>0</v>
      </c>
      <c r="W173" s="310">
        <f t="array" aca="1" ref="W173" ca="1">V173+SUM((OFFSET($C$13,1,0):OFFSET($C$164,-3,0))*IF(ISNUMBER(OFFSET(W$11,5,0):OFFSET(W$164,-1,0)),OFFSET(W$11,5,0):OFFSET(W$164,-1,0),0))</f>
        <v>0</v>
      </c>
      <c r="X173" s="310">
        <f t="array" aca="1" ref="X173" ca="1">W173+SUM((OFFSET($C$13,1,0):OFFSET($C$164,-3,0))*IF(ISNUMBER(OFFSET(X$11,5,0):OFFSET(X$164,-1,0)),OFFSET(X$11,5,0):OFFSET(X$164,-1,0),0))</f>
        <v>0</v>
      </c>
      <c r="Y173" s="310">
        <f t="array" aca="1" ref="Y173" ca="1">X173+SUM((OFFSET($C$13,1,0):OFFSET($C$164,-3,0))*IF(ISNUMBER(OFFSET(Y$11,5,0):OFFSET(Y$164,-1,0)),OFFSET(Y$11,5,0):OFFSET(Y$164,-1,0),0))</f>
        <v>0</v>
      </c>
      <c r="Z173" s="310">
        <f t="array" aca="1" ref="Z173" ca="1">Y173+SUM((OFFSET($C$13,1,0):OFFSET($C$164,-3,0))*IF(ISNUMBER(OFFSET(Z$11,5,0):OFFSET(Z$164,-1,0)),OFFSET(Z$11,5,0):OFFSET(Z$164,-1,0),0))</f>
        <v>0</v>
      </c>
      <c r="AA173" s="310">
        <f t="array" aca="1" ref="AA173" ca="1">Z173+SUM((OFFSET($C$13,1,0):OFFSET($C$164,-3,0))*IF(ISNUMBER(OFFSET(AA$11,5,0):OFFSET(AA$164,-1,0)),OFFSET(AA$11,5,0):OFFSET(AA$164,-1,0),0))</f>
        <v>0</v>
      </c>
      <c r="AB173" s="310">
        <f t="array" aca="1" ref="AB173" ca="1">AA173+SUM((OFFSET($C$13,1,0):OFFSET($C$164,-3,0))*IF(ISNUMBER(OFFSET(AB$11,5,0):OFFSET(AB$164,-1,0)),OFFSET(AB$11,5,0):OFFSET(AB$164,-1,0),0))</f>
        <v>0</v>
      </c>
      <c r="AC173" s="310">
        <f t="array" aca="1" ref="AC173" ca="1">AB173+SUM((OFFSET($C$13,1,0):OFFSET($C$164,-3,0))*IF(ISNUMBER(OFFSET(AC$11,5,0):OFFSET(AC$164,-1,0)),OFFSET(AC$11,5,0):OFFSET(AC$164,-1,0),0))</f>
        <v>0</v>
      </c>
      <c r="AD173" s="310">
        <f t="array" aca="1" ref="AD173" ca="1">AC173+SUM((OFFSET($C$13,1,0):OFFSET($C$164,-3,0))*IF(ISNUMBER(OFFSET(AD$11,5,0):OFFSET(AD$164,-1,0)),OFFSET(AD$11,5,0):OFFSET(AD$164,-1,0),0))</f>
        <v>0</v>
      </c>
      <c r="AE173" s="314">
        <f t="array" aca="1" ref="AE173" ca="1">AD173+SUM((OFFSET($C$13,1,0):OFFSET($C$164,-3,0))*IF(ISNUMBER(OFFSET(AE$11,5,0):OFFSET(AE$164,-1,0)),OFFSET(AE$11,5,0):OFFSET(AE$164,-1,0),0))</f>
        <v>0</v>
      </c>
      <c r="AF173" s="239">
        <f ca="1">ROUND(AF174-AF171-AF172,2)</f>
        <v>0</v>
      </c>
    </row>
    <row r="174" spans="1:32" x14ac:dyDescent="0.2">
      <c r="D174" s="315">
        <f ca="1">C174+SUMIF($R$12:$R$164,"1$",D12:D164)</f>
        <v>0</v>
      </c>
      <c r="F174" s="238" t="s">
        <v>245</v>
      </c>
      <c r="K174" s="316"/>
      <c r="R174" s="317"/>
      <c r="S174" s="318" t="s">
        <v>285</v>
      </c>
      <c r="T174" s="319">
        <f ca="1">SUMIF($R$12:$R$164,"1$",T12:T164)</f>
        <v>172721.02000000002</v>
      </c>
      <c r="U174" s="320">
        <f t="shared" ref="U174:AF174" ca="1" si="60">T174+SUMIF($R$12:$R$164,"1$",U12:U164)</f>
        <v>192352.07</v>
      </c>
      <c r="V174" s="320">
        <f t="shared" ca="1" si="60"/>
        <v>192352.07</v>
      </c>
      <c r="W174" s="320">
        <f t="shared" ca="1" si="60"/>
        <v>192352.07</v>
      </c>
      <c r="X174" s="320">
        <f t="shared" ca="1" si="60"/>
        <v>192352.07</v>
      </c>
      <c r="Y174" s="320">
        <f t="shared" ca="1" si="60"/>
        <v>192352.07</v>
      </c>
      <c r="Z174" s="320">
        <f t="shared" ca="1" si="60"/>
        <v>192352.07</v>
      </c>
      <c r="AA174" s="320">
        <f t="shared" ca="1" si="60"/>
        <v>192352.07</v>
      </c>
      <c r="AB174" s="320">
        <f t="shared" ca="1" si="60"/>
        <v>192352.07</v>
      </c>
      <c r="AC174" s="320">
        <f t="shared" ca="1" si="60"/>
        <v>192352.07</v>
      </c>
      <c r="AD174" s="320">
        <f t="shared" ca="1" si="60"/>
        <v>192352.07</v>
      </c>
      <c r="AE174" s="321">
        <f t="shared" ca="1" si="60"/>
        <v>192352.07</v>
      </c>
      <c r="AF174" s="239">
        <f t="shared" ca="1" si="60"/>
        <v>192352.07</v>
      </c>
    </row>
    <row r="175" spans="1:32" x14ac:dyDescent="0.2">
      <c r="F175" s="238" t="s">
        <v>245</v>
      </c>
    </row>
    <row r="176" spans="1:32" ht="32.25" customHeight="1" x14ac:dyDescent="0.2">
      <c r="F176" s="238" t="s">
        <v>245</v>
      </c>
      <c r="H176" s="706" t="str">
        <f>Import.Município</f>
        <v>CÉU AZUL/PR</v>
      </c>
      <c r="I176" s="706"/>
      <c r="J176" s="706"/>
      <c r="K176" s="706"/>
      <c r="L176" s="706"/>
      <c r="M176" s="706"/>
      <c r="N176" s="706"/>
      <c r="O176" s="706"/>
      <c r="P176" s="706"/>
      <c r="Q176" s="706"/>
      <c r="R176" s="706"/>
      <c r="Z176" s="601"/>
      <c r="AA176" s="601"/>
      <c r="AB176" s="601"/>
      <c r="AC176" s="601"/>
      <c r="AD176" s="604"/>
      <c r="AE176" s="604"/>
    </row>
    <row r="177" spans="6:31" x14ac:dyDescent="0.2">
      <c r="F177" s="238" t="s">
        <v>245</v>
      </c>
      <c r="H177" s="12" t="s">
        <v>187</v>
      </c>
      <c r="I177" s="104"/>
      <c r="J177" s="104"/>
      <c r="K177" s="104"/>
      <c r="Z177" s="229" t="s">
        <v>189</v>
      </c>
      <c r="AA177" s="229"/>
      <c r="AB177" s="229"/>
      <c r="AC177" s="229"/>
      <c r="AD177" s="238"/>
      <c r="AE177" s="238"/>
    </row>
    <row r="178" spans="6:31" x14ac:dyDescent="0.2">
      <c r="F178" s="238" t="s">
        <v>245</v>
      </c>
      <c r="H178" s="104"/>
      <c r="I178" s="104"/>
      <c r="J178" s="104"/>
      <c r="K178" s="104"/>
      <c r="Z178" s="603" t="str">
        <f t="array" aca="1" ref="Z178:Z180" ca="1">OFFSET(Import.RespOrçamento,0,-1) &amp; " " &amp; Import.RespOrçamento</f>
        <v>Nome: GIAN CARLOS BORTOLINI VALLI</v>
      </c>
      <c r="AB178" s="176"/>
      <c r="AC178" s="96"/>
      <c r="AD178" s="238"/>
      <c r="AE178" s="238"/>
    </row>
    <row r="179" spans="6:31" x14ac:dyDescent="0.2">
      <c r="F179" s="238" t="s">
        <v>245</v>
      </c>
      <c r="H179" s="716">
        <f>DADOS!$F$25</f>
        <v>45146</v>
      </c>
      <c r="I179" s="716"/>
      <c r="J179" s="716"/>
      <c r="K179" s="322"/>
      <c r="L179" s="323"/>
      <c r="M179" s="323"/>
      <c r="N179" s="323"/>
      <c r="O179" s="323"/>
      <c r="P179" s="323"/>
      <c r="Q179" s="323"/>
      <c r="R179" s="324"/>
      <c r="Z179" s="603" t="str">
        <f ca="1"/>
        <v>CREA/CAU: CREA 163755/D</v>
      </c>
      <c r="AB179" s="96"/>
      <c r="AC179" s="96"/>
      <c r="AD179" s="238"/>
      <c r="AE179" s="238"/>
    </row>
    <row r="180" spans="6:31" x14ac:dyDescent="0.2">
      <c r="F180" s="238" t="s">
        <v>245</v>
      </c>
      <c r="H180" s="325" t="s">
        <v>188</v>
      </c>
      <c r="I180" s="105"/>
      <c r="J180" s="105"/>
      <c r="K180" s="104"/>
      <c r="Z180" s="603" t="str">
        <f ca="1"/>
        <v xml:space="preserve">ART/RRT: </v>
      </c>
      <c r="AB180" s="96"/>
      <c r="AC180" s="96"/>
      <c r="AD180" s="238"/>
      <c r="AE180" s="238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G16" sqref="G16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6" t="e">
        <f ca="1">OFFSET(B1,-1,0)+1</f>
        <v>#REF!</v>
      </c>
      <c r="C1" s="327" t="e">
        <f ca="1">IF(AUTOEVENTO="Manual",IF($B1&lt;&gt;1,OFFSET(EVENTOS!$D$14,$B1,0),0),IF(B1&lt;=MAX(CÁLCULO!$M$15:$M$266),VLOOKUP($B1,CÁLCULO!$M$15:$N$266,2,FALSE),0))</f>
        <v>#REF!</v>
      </c>
      <c r="E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2" t="s">
        <v>287</v>
      </c>
    </row>
    <row r="7" spans="1:31" x14ac:dyDescent="0.2">
      <c r="B7" t="s">
        <v>288</v>
      </c>
    </row>
    <row r="9" spans="1:31" ht="15" x14ac:dyDescent="0.25">
      <c r="B9" s="329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0"/>
      <c r="C11" s="331"/>
      <c r="E11" s="332" t="str">
        <f ca="1">IF(E$12&gt;CÁLCULO.NúmeroDeFrentes,"",OFFSET(CÁLCULO!$P$12,0,E$12))</f>
        <v>META 01</v>
      </c>
      <c r="G11" s="332" t="str">
        <f ca="1">IF(G$12&gt;CÁLCULO.NúmeroDeFrentes,"",OFFSET(CÁLCULO!$P$12,0,G$12))</f>
        <v>META 01</v>
      </c>
      <c r="H11" s="332" t="str">
        <f ca="1">IF(H$12&gt;CÁLCULO.NúmeroDeFrentes,"",OFFSET(CÁLCULO!$P$12,0,H$12))</f>
        <v>META 02</v>
      </c>
      <c r="I11" s="332" t="str">
        <f ca="1">IF(I$12&gt;CÁLCULO.NúmeroDeFrentes,"",OFFSET(CÁLCULO!$P$12,0,I$12))</f>
        <v>META 03</v>
      </c>
      <c r="J11" s="332">
        <f ca="1">IF(J$12&gt;CÁLCULO.NúmeroDeFrentes,"",OFFSET(CÁLCULO!$P$12,0,J$12))</f>
        <v>0</v>
      </c>
      <c r="K11" s="332">
        <f ca="1">IF(K$12&gt;CÁLCULO.NúmeroDeFrentes,"",OFFSET(CÁLCULO!$P$12,0,K$12))</f>
        <v>0</v>
      </c>
      <c r="L11" s="332">
        <f ca="1">IF(L$12&gt;CÁLCULO.NúmeroDeFrentes,"",OFFSET(CÁLCULO!$P$12,0,L$12))</f>
        <v>0</v>
      </c>
      <c r="M11" s="332">
        <f ca="1">IF(M$12&gt;CÁLCULO.NúmeroDeFrentes,"",OFFSET(CÁLCULO!$P$12,0,M$12))</f>
        <v>0</v>
      </c>
      <c r="N11" s="332">
        <f ca="1">IF(N$12&gt;CÁLCULO.NúmeroDeFrentes,"",OFFSET(CÁLCULO!$P$12,0,N$12))</f>
        <v>0</v>
      </c>
      <c r="O11" s="332">
        <f ca="1">IF(O$12&gt;CÁLCULO.NúmeroDeFrentes,"",OFFSET(CÁLCULO!$P$12,0,O$12))</f>
        <v>0</v>
      </c>
      <c r="P11" s="332">
        <f ca="1">IF(P$12&gt;CÁLCULO.NúmeroDeFrentes,"",OFFSET(CÁLCULO!$P$12,0,P$12))</f>
        <v>0</v>
      </c>
      <c r="Q11" s="332" t="str">
        <f ca="1">IF(Q$12&gt;CÁLCULO.NúmeroDeFrentes,"",OFFSET(CÁLCULO!$P$12,0,Q$12))</f>
        <v/>
      </c>
      <c r="R11" s="332" t="str">
        <f ca="1">IF(R$12&gt;CÁLCULO.NúmeroDeFrentes,"",OFFSET(CÁLCULO!$P$12,0,R$12))</f>
        <v/>
      </c>
      <c r="S11" s="332" t="str">
        <f ca="1">IF(S$12&gt;CÁLCULO.NúmeroDeFrentes,"",OFFSET(CÁLCULO!$P$12,0,S$12))</f>
        <v/>
      </c>
      <c r="T11" s="332" t="str">
        <f ca="1">IF(T$12&gt;CÁLCULO.NúmeroDeFrentes,"",OFFSET(CÁLCULO!$P$12,0,T$12))</f>
        <v/>
      </c>
      <c r="U11" s="332" t="str">
        <f ca="1">IF(U$12&gt;CÁLCULO.NúmeroDeFrentes,"",OFFSET(CÁLCULO!$P$12,0,U$12))</f>
        <v/>
      </c>
      <c r="V11" s="332" t="str">
        <f ca="1">IF(V$12&gt;CÁLCULO.NúmeroDeFrentes,"",OFFSET(CÁLCULO!$P$12,0,V$12))</f>
        <v/>
      </c>
      <c r="W11" s="332" t="str">
        <f ca="1">IF(W$12&gt;CÁLCULO.NúmeroDeFrentes,"",OFFSET(CÁLCULO!$P$12,0,W$12))</f>
        <v/>
      </c>
      <c r="X11" s="332" t="str">
        <f ca="1">IF(X$12&gt;CÁLCULO.NúmeroDeFrentes,"",OFFSET(CÁLCULO!$P$12,0,X$12))</f>
        <v/>
      </c>
      <c r="Y11" s="332" t="str">
        <f ca="1">IF(Y$12&gt;CÁLCULO.NúmeroDeFrentes,"",OFFSET(CÁLCULO!$P$12,0,Y$12))</f>
        <v/>
      </c>
      <c r="Z11" s="332" t="str">
        <f ca="1">IF(Z$12&gt;CÁLCULO.NúmeroDeFrentes,"",OFFSET(CÁLCULO!$P$12,0,Z$12))</f>
        <v/>
      </c>
      <c r="AA11" s="332" t="str">
        <f ca="1">IF(AA$12&gt;CÁLCULO.NúmeroDeFrentes,"",OFFSET(CÁLCULO!$P$12,0,AA$12))</f>
        <v/>
      </c>
      <c r="AB11" s="332" t="str">
        <f ca="1">IF(AB$12&gt;CÁLCULO.NúmeroDeFrentes,"",OFFSET(CÁLCULO!$P$12,0,AB$12))</f>
        <v/>
      </c>
      <c r="AC11" s="332" t="str">
        <f ca="1">IF(AC$12&gt;CÁLCULO.NúmeroDeFrentes,"",OFFSET(CÁLCULO!$P$12,0,AC$12))</f>
        <v/>
      </c>
      <c r="AD11" s="332" t="str">
        <f ca="1">IF(AD$12&gt;CÁLCULO.NúmeroDeFrentes,"",OFFSET(CÁLCULO!$P$12,0,AD$12))</f>
        <v/>
      </c>
      <c r="AE11" s="332" t="str">
        <f ca="1">IF(AE$12&gt;CÁLCULO.NúmeroDeFrentes,"",OFFSET(CÁLCULO!$P$12,0,AE$12))</f>
        <v/>
      </c>
    </row>
    <row r="12" spans="1:31" ht="12.75" customHeight="1" x14ac:dyDescent="0.2">
      <c r="A12" s="135"/>
      <c r="B12" s="728" t="s">
        <v>265</v>
      </c>
      <c r="C12" s="728" t="s">
        <v>290</v>
      </c>
      <c r="E12" s="333">
        <f ca="1">OFFSET(E12,0,-1)+1</f>
        <v>1</v>
      </c>
      <c r="G12" s="333">
        <f ca="1">OFFSET(G12,0,-1)+1</f>
        <v>1</v>
      </c>
      <c r="H12" s="333">
        <f ca="1">OFFSET(H12,0,-1)+1</f>
        <v>2</v>
      </c>
      <c r="I12" s="333">
        <f t="shared" ref="I12:AE12" ca="1" si="0">OFFSET(I12,0,-1)+1</f>
        <v>3</v>
      </c>
      <c r="J12" s="333">
        <f t="shared" ca="1" si="0"/>
        <v>4</v>
      </c>
      <c r="K12" s="333">
        <f t="shared" ca="1" si="0"/>
        <v>5</v>
      </c>
      <c r="L12" s="333">
        <f t="shared" ca="1" si="0"/>
        <v>6</v>
      </c>
      <c r="M12" s="333">
        <f t="shared" ca="1" si="0"/>
        <v>7</v>
      </c>
      <c r="N12" s="333">
        <f t="shared" ca="1" si="0"/>
        <v>8</v>
      </c>
      <c r="O12" s="333">
        <f t="shared" ca="1" si="0"/>
        <v>9</v>
      </c>
      <c r="P12" s="333">
        <f t="shared" ca="1" si="0"/>
        <v>10</v>
      </c>
      <c r="Q12" s="333">
        <f t="shared" ca="1" si="0"/>
        <v>11</v>
      </c>
      <c r="R12" s="333">
        <f t="shared" ca="1" si="0"/>
        <v>12</v>
      </c>
      <c r="S12" s="333">
        <f t="shared" ca="1" si="0"/>
        <v>13</v>
      </c>
      <c r="T12" s="333">
        <f t="shared" ca="1" si="0"/>
        <v>14</v>
      </c>
      <c r="U12" s="333">
        <f t="shared" ca="1" si="0"/>
        <v>15</v>
      </c>
      <c r="V12" s="333">
        <f t="shared" ca="1" si="0"/>
        <v>16</v>
      </c>
      <c r="W12" s="333">
        <f t="shared" ca="1" si="0"/>
        <v>17</v>
      </c>
      <c r="X12" s="333">
        <f t="shared" ca="1" si="0"/>
        <v>18</v>
      </c>
      <c r="Y12" s="333">
        <f t="shared" ca="1" si="0"/>
        <v>19</v>
      </c>
      <c r="Z12" s="333">
        <f t="shared" ca="1" si="0"/>
        <v>20</v>
      </c>
      <c r="AA12" s="333">
        <f t="shared" ca="1" si="0"/>
        <v>21</v>
      </c>
      <c r="AB12" s="333">
        <f t="shared" ca="1" si="0"/>
        <v>22</v>
      </c>
      <c r="AC12" s="333">
        <f t="shared" ca="1" si="0"/>
        <v>23</v>
      </c>
      <c r="AD12" s="333">
        <f t="shared" ca="1" si="0"/>
        <v>24</v>
      </c>
      <c r="AE12" s="333">
        <f t="shared" ca="1" si="0"/>
        <v>25</v>
      </c>
    </row>
    <row r="13" spans="1:31" x14ac:dyDescent="0.2">
      <c r="B13" s="728"/>
      <c r="C13" s="728"/>
      <c r="E13" s="334"/>
      <c r="G13" s="335"/>
      <c r="H13" s="334"/>
      <c r="I13" s="334"/>
      <c r="J13" s="334"/>
      <c r="K13" s="334"/>
      <c r="L13" s="334"/>
      <c r="M13" s="334" t="s">
        <v>291</v>
      </c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6"/>
    </row>
    <row r="14" spans="1:31" ht="7.5" customHeight="1" x14ac:dyDescent="0.2">
      <c r="A14" s="9"/>
    </row>
    <row r="15" spans="1:31" x14ac:dyDescent="0.2">
      <c r="A15" s="9"/>
      <c r="B15" s="337">
        <v>1</v>
      </c>
      <c r="C15" s="338" t="s">
        <v>268</v>
      </c>
      <c r="E15" s="339"/>
      <c r="G15" s="340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41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6">
        <f t="shared" ref="B16:B64" ca="1" si="1">OFFSET(B16,-1,0)+1</f>
        <v>2</v>
      </c>
      <c r="C16" s="327" t="str">
        <f ca="1">IF(AUTOEVENTO="Manual",IF($B16&lt;&gt;1,OFFSET(EVENTOS!$D$14,$B16,0),0),IF(B16&lt;=MAX(CÁLCULO!$M$15:$M$266),VLOOKUP($B16,CÁLCULO!$M$15:$N$266,2,FALSE),0))</f>
        <v>SERVIÇOS PRELIMINARES</v>
      </c>
      <c r="E16" s="328"/>
      <c r="G16" s="328">
        <v>1</v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6">
        <f t="shared" ca="1" si="1"/>
        <v>3</v>
      </c>
      <c r="C17" s="327" t="str">
        <f ca="1">IF(AUTOEVENTO="Manual",IF($B17&lt;&gt;1,OFFSET(EVENTOS!$D$14,$B17,0),0),IF(B17&lt;=MAX(CÁLCULO!$M$15:$M$266),VLOOKUP($B17,CÁLCULO!$M$15:$N$266,2,FALSE),0))</f>
        <v>ESQUADRIAS</v>
      </c>
      <c r="E17" s="328"/>
      <c r="G17" s="328">
        <v>1</v>
      </c>
      <c r="H17" s="328">
        <v>2</v>
      </c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6">
        <f t="shared" ca="1" si="1"/>
        <v>4</v>
      </c>
      <c r="C18" s="327" t="str">
        <f ca="1">IF(AUTOEVENTO="Manual",IF($B18&lt;&gt;1,OFFSET(EVENTOS!$D$14,$B18,0),0),IF(B18&lt;=MAX(CÁLCULO!$M$15:$M$266),VLOOKUP($B18,CÁLCULO!$M$15:$N$266,2,FALSE),0))</f>
        <v>ALVENARIA</v>
      </c>
      <c r="E18" s="328"/>
      <c r="G18" s="328">
        <v>1</v>
      </c>
      <c r="H18" s="328">
        <v>3</v>
      </c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6">
        <f t="shared" ca="1" si="1"/>
        <v>5</v>
      </c>
      <c r="C19" s="327" t="str">
        <f ca="1">IF(AUTOEVENTO="Manual",IF($B19&lt;&gt;1,OFFSET(EVENTOS!$D$14,$B19,0),0),IF(B19&lt;=MAX(CÁLCULO!$M$15:$M$266),VLOOKUP($B19,CÁLCULO!$M$15:$N$266,2,FALSE),0))</f>
        <v>PINTURAS E TEXTURAS</v>
      </c>
      <c r="E19" s="328"/>
      <c r="G19" s="328">
        <v>2</v>
      </c>
      <c r="H19" s="328">
        <v>2</v>
      </c>
      <c r="I19" s="328">
        <v>3</v>
      </c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</row>
    <row r="20" spans="1:31" x14ac:dyDescent="0.2">
      <c r="A20" s="9" t="str">
        <f ca="1">IF(AUTOEVENTO="Manual",IF(OFFSET(EVENTOS!$F$14,CRONOPLE!$B20,0)&gt;0,"F",""),IF(CRONOPLE!B20&lt;=MAX(CÁLCULO!$M$15:$M$266),"F",""))</f>
        <v/>
      </c>
      <c r="B20" s="326">
        <f t="shared" ca="1" si="1"/>
        <v>6</v>
      </c>
      <c r="C20" s="327">
        <f ca="1">IF(AUTOEVENTO="Manual",IF($B20&lt;&gt;1,OFFSET(EVENTOS!$D$14,$B20,0),0),IF(B20&lt;=MAX(CÁLCULO!$M$15:$M$266),VLOOKUP($B20,CÁLCULO!$M$15:$N$266,2,FALSE),0))</f>
        <v>0</v>
      </c>
      <c r="E20" s="328"/>
      <c r="G20" s="328">
        <v>1</v>
      </c>
      <c r="H20" s="328"/>
      <c r="I20" s="328">
        <v>3</v>
      </c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6">
        <f t="shared" ca="1" si="1"/>
        <v>7</v>
      </c>
      <c r="C21" s="327">
        <f ca="1">IF(AUTOEVENTO="Manual",IF($B21&lt;&gt;1,OFFSET(EVENTOS!$D$14,$B21,0),0),IF(B21&lt;=MAX(CÁLCULO!$M$15:$M$266),VLOOKUP($B21,CÁLCULO!$M$15:$N$266,2,FALSE),0))</f>
        <v>0</v>
      </c>
      <c r="E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6">
        <f t="shared" ca="1" si="1"/>
        <v>8</v>
      </c>
      <c r="C22" s="327">
        <f ca="1">IF(AUTOEVENTO="Manual",IF($B22&lt;&gt;1,OFFSET(EVENTOS!$D$14,$B22,0),0),IF(B22&lt;=MAX(CÁLCULO!$M$15:$M$266),VLOOKUP($B22,CÁLCULO!$M$15:$N$266,2,FALSE),0))</f>
        <v>0</v>
      </c>
      <c r="E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6">
        <f t="shared" ca="1" si="1"/>
        <v>9</v>
      </c>
      <c r="C23" s="327">
        <f ca="1">IF(AUTOEVENTO="Manual",IF($B23&lt;&gt;1,OFFSET(EVENTOS!$D$14,$B23,0),0),IF(B23&lt;=MAX(CÁLCULO!$M$15:$M$266),VLOOKUP($B23,CÁLCULO!$M$15:$N$266,2,FALSE),0))</f>
        <v>0</v>
      </c>
      <c r="E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6">
        <f t="shared" ca="1" si="1"/>
        <v>10</v>
      </c>
      <c r="C24" s="327">
        <f ca="1">IF(AUTOEVENTO="Manual",IF($B24&lt;&gt;1,OFFSET(EVENTOS!$D$14,$B24,0),0),IF(B24&lt;=MAX(CÁLCULO!$M$15:$M$266),VLOOKUP($B24,CÁLCULO!$M$15:$N$266,2,FALSE),0))</f>
        <v>0</v>
      </c>
      <c r="E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6">
        <f t="shared" ca="1" si="1"/>
        <v>11</v>
      </c>
      <c r="C25" s="327">
        <f ca="1">IF(AUTOEVENTO="Manual",IF($B25&lt;&gt;1,OFFSET(EVENTOS!$D$14,$B25,0),0),IF(B25&lt;=MAX(CÁLCULO!$M$15:$M$266),VLOOKUP($B25,CÁLCULO!$M$15:$N$266,2,FALSE),0))</f>
        <v>0</v>
      </c>
      <c r="E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6">
        <f t="shared" ca="1" si="1"/>
        <v>12</v>
      </c>
      <c r="C26" s="327">
        <f ca="1">IF(AUTOEVENTO="Manual",IF($B26&lt;&gt;1,OFFSET(EVENTOS!$D$14,$B26,0),0),IF(B26&lt;=MAX(CÁLCULO!$M$15:$M$266),VLOOKUP($B26,CÁLCULO!$M$15:$N$266,2,FALSE),0))</f>
        <v>0</v>
      </c>
      <c r="E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6">
        <f t="shared" ca="1" si="1"/>
        <v>13</v>
      </c>
      <c r="C27" s="327">
        <f ca="1">IF(AUTOEVENTO="Manual",IF($B27&lt;&gt;1,OFFSET(EVENTOS!$D$14,$B27,0),0),IF(B27&lt;=MAX(CÁLCULO!$M$15:$M$266),VLOOKUP($B27,CÁLCULO!$M$15:$N$266,2,FALSE),0))</f>
        <v>0</v>
      </c>
      <c r="E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6">
        <f t="shared" ca="1" si="1"/>
        <v>14</v>
      </c>
      <c r="C28" s="327">
        <f ca="1">IF(AUTOEVENTO="Manual",IF($B28&lt;&gt;1,OFFSET(EVENTOS!$D$14,$B28,0),0),IF(B28&lt;=MAX(CÁLCULO!$M$15:$M$266),VLOOKUP($B28,CÁLCULO!$M$15:$N$266,2,FALSE),0))</f>
        <v>0</v>
      </c>
      <c r="E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6">
        <f t="shared" ca="1" si="1"/>
        <v>15</v>
      </c>
      <c r="C29" s="327">
        <f ca="1">IF(AUTOEVENTO="Manual",IF($B29&lt;&gt;1,OFFSET(EVENTOS!$D$14,$B29,0),0),IF(B29&lt;=MAX(CÁLCULO!$M$15:$M$266),VLOOKUP($B29,CÁLCULO!$M$15:$N$266,2,FALSE),0))</f>
        <v>0</v>
      </c>
      <c r="E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6">
        <f t="shared" ca="1" si="1"/>
        <v>16</v>
      </c>
      <c r="C30" s="327">
        <f ca="1">IF(AUTOEVENTO="Manual",IF($B30&lt;&gt;1,OFFSET(EVENTOS!$D$14,$B30,0),0),IF(B30&lt;=MAX(CÁLCULO!$M$15:$M$266),VLOOKUP($B30,CÁLCULO!$M$15:$N$266,2,FALSE),0))</f>
        <v>0</v>
      </c>
      <c r="E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6">
        <f t="shared" ca="1" si="1"/>
        <v>17</v>
      </c>
      <c r="C31" s="327">
        <f ca="1">IF(AUTOEVENTO="Manual",IF($B31&lt;&gt;1,OFFSET(EVENTOS!$D$14,$B31,0),0),IF(B31&lt;=MAX(CÁLCULO!$M$15:$M$266),VLOOKUP($B31,CÁLCULO!$M$15:$N$266,2,FALSE),0))</f>
        <v>0</v>
      </c>
      <c r="E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6">
        <f t="shared" ca="1" si="1"/>
        <v>18</v>
      </c>
      <c r="C32" s="327">
        <f ca="1">IF(AUTOEVENTO="Manual",IF($B32&lt;&gt;1,OFFSET(EVENTOS!$D$14,$B32,0),0),IF(B32&lt;=MAX(CÁLCULO!$M$15:$M$266),VLOOKUP($B32,CÁLCULO!$M$15:$N$266,2,FALSE),0))</f>
        <v>0</v>
      </c>
      <c r="E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6">
        <f t="shared" ca="1" si="1"/>
        <v>19</v>
      </c>
      <c r="C33" s="327">
        <f ca="1">IF(AUTOEVENTO="Manual",IF($B33&lt;&gt;1,OFFSET(EVENTOS!$D$14,$B33,0),0),IF(B33&lt;=MAX(CÁLCULO!$M$15:$M$266),VLOOKUP($B33,CÁLCULO!$M$15:$N$266,2,FALSE),0))</f>
        <v>0</v>
      </c>
      <c r="E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6">
        <f t="shared" ca="1" si="1"/>
        <v>20</v>
      </c>
      <c r="C34" s="327">
        <f ca="1">IF(AUTOEVENTO="Manual",IF($B34&lt;&gt;1,OFFSET(EVENTOS!$D$14,$B34,0),0),IF(B34&lt;=MAX(CÁLCULO!$M$15:$M$266),VLOOKUP($B34,CÁLCULO!$M$15:$N$266,2,FALSE),0))</f>
        <v>0</v>
      </c>
      <c r="E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6">
        <f t="shared" ca="1" si="1"/>
        <v>21</v>
      </c>
      <c r="C35" s="327">
        <f ca="1">IF(AUTOEVENTO="Manual",IF($B35&lt;&gt;1,OFFSET(EVENTOS!$D$14,$B35,0),0),IF(B35&lt;=MAX(CÁLCULO!$M$15:$M$266),VLOOKUP($B35,CÁLCULO!$M$15:$N$266,2,FALSE),0))</f>
        <v>0</v>
      </c>
      <c r="E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6">
        <f t="shared" ca="1" si="1"/>
        <v>22</v>
      </c>
      <c r="C36" s="327">
        <f ca="1">IF(AUTOEVENTO="Manual",IF($B36&lt;&gt;1,OFFSET(EVENTOS!$D$14,$B36,0),0),IF(B36&lt;=MAX(CÁLCULO!$M$15:$M$266),VLOOKUP($B36,CÁLCULO!$M$15:$N$266,2,FALSE),0))</f>
        <v>0</v>
      </c>
      <c r="E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6">
        <f t="shared" ca="1" si="1"/>
        <v>23</v>
      </c>
      <c r="C37" s="327">
        <f ca="1">IF(AUTOEVENTO="Manual",IF($B37&lt;&gt;1,OFFSET(EVENTOS!$D$14,$B37,0),0),IF(B37&lt;=MAX(CÁLCULO!$M$15:$M$266),VLOOKUP($B37,CÁLCULO!$M$15:$N$266,2,FALSE),0))</f>
        <v>0</v>
      </c>
      <c r="E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6">
        <f t="shared" ca="1" si="1"/>
        <v>24</v>
      </c>
      <c r="C38" s="327">
        <f ca="1">IF(AUTOEVENTO="Manual",IF($B38&lt;&gt;1,OFFSET(EVENTOS!$D$14,$B38,0),0),IF(B38&lt;=MAX(CÁLCULO!$M$15:$M$266),VLOOKUP($B38,CÁLCULO!$M$15:$N$266,2,FALSE),0))</f>
        <v>0</v>
      </c>
      <c r="E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6">
        <f t="shared" ca="1" si="1"/>
        <v>25</v>
      </c>
      <c r="C39" s="327">
        <f ca="1">IF(AUTOEVENTO="Manual",IF($B39&lt;&gt;1,OFFSET(EVENTOS!$D$14,$B39,0),0),IF(B39&lt;=MAX(CÁLCULO!$M$15:$M$266),VLOOKUP($B39,CÁLCULO!$M$15:$N$266,2,FALSE),0))</f>
        <v>0</v>
      </c>
      <c r="E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6">
        <f t="shared" ca="1" si="1"/>
        <v>26</v>
      </c>
      <c r="C40" s="327">
        <f ca="1">IF(AUTOEVENTO="Manual",IF($B40&lt;&gt;1,OFFSET(EVENTOS!$D$14,$B40,0),0),IF(B40&lt;=MAX(CÁLCULO!$M$15:$M$266),VLOOKUP($B40,CÁLCULO!$M$15:$N$266,2,FALSE),0))</f>
        <v>0</v>
      </c>
      <c r="E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6">
        <f t="shared" ca="1" si="1"/>
        <v>27</v>
      </c>
      <c r="C41" s="327">
        <f ca="1">IF(AUTOEVENTO="Manual",IF($B41&lt;&gt;1,OFFSET(EVENTOS!$D$14,$B41,0),0),IF(B41&lt;=MAX(CÁLCULO!$M$15:$M$266),VLOOKUP($B41,CÁLCULO!$M$15:$N$266,2,FALSE),0))</f>
        <v>0</v>
      </c>
      <c r="E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6">
        <f t="shared" ca="1" si="1"/>
        <v>28</v>
      </c>
      <c r="C42" s="327">
        <f ca="1">IF(AUTOEVENTO="Manual",IF($B42&lt;&gt;1,OFFSET(EVENTOS!$D$14,$B42,0),0),IF(B42&lt;=MAX(CÁLCULO!$M$15:$M$266),VLOOKUP($B42,CÁLCULO!$M$15:$N$266,2,FALSE),0))</f>
        <v>0</v>
      </c>
      <c r="E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6">
        <f t="shared" ca="1" si="1"/>
        <v>29</v>
      </c>
      <c r="C43" s="327">
        <f ca="1">IF(AUTOEVENTO="Manual",IF($B43&lt;&gt;1,OFFSET(EVENTOS!$D$14,$B43,0),0),IF(B43&lt;=MAX(CÁLCULO!$M$15:$M$266),VLOOKUP($B43,CÁLCULO!$M$15:$N$266,2,FALSE),0))</f>
        <v>0</v>
      </c>
      <c r="E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6">
        <f t="shared" ca="1" si="1"/>
        <v>30</v>
      </c>
      <c r="C44" s="327">
        <f ca="1">IF(AUTOEVENTO="Manual",IF($B44&lt;&gt;1,OFFSET(EVENTOS!$D$14,$B44,0),0),IF(B44&lt;=MAX(CÁLCULO!$M$15:$M$266),VLOOKUP($B44,CÁLCULO!$M$15:$N$266,2,FALSE),0))</f>
        <v>0</v>
      </c>
      <c r="E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6">
        <f t="shared" ca="1" si="1"/>
        <v>31</v>
      </c>
      <c r="C45" s="327">
        <f ca="1">IF(AUTOEVENTO="Manual",IF($B45&lt;&gt;1,OFFSET(EVENTOS!$D$14,$B45,0),0),IF(B45&lt;=MAX(CÁLCULO!$M$15:$M$266),VLOOKUP($B45,CÁLCULO!$M$15:$N$266,2,FALSE),0))</f>
        <v>0</v>
      </c>
      <c r="E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6">
        <f t="shared" ca="1" si="1"/>
        <v>32</v>
      </c>
      <c r="C46" s="327">
        <f ca="1">IF(AUTOEVENTO="Manual",IF($B46&lt;&gt;1,OFFSET(EVENTOS!$D$14,$B46,0),0),IF(B46&lt;=MAX(CÁLCULO!$M$15:$M$266),VLOOKUP($B46,CÁLCULO!$M$15:$N$266,2,FALSE),0))</f>
        <v>0</v>
      </c>
      <c r="E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6">
        <f t="shared" ca="1" si="1"/>
        <v>33</v>
      </c>
      <c r="C47" s="327">
        <f ca="1">IF(AUTOEVENTO="Manual",IF($B47&lt;&gt;1,OFFSET(EVENTOS!$D$14,$B47,0),0),IF(B47&lt;=MAX(CÁLCULO!$M$15:$M$266),VLOOKUP($B47,CÁLCULO!$M$15:$N$266,2,FALSE),0))</f>
        <v>0</v>
      </c>
      <c r="E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6">
        <f t="shared" ca="1" si="1"/>
        <v>34</v>
      </c>
      <c r="C48" s="327">
        <f ca="1">IF(AUTOEVENTO="Manual",IF($B48&lt;&gt;1,OFFSET(EVENTOS!$D$14,$B48,0),0),IF(B48&lt;=MAX(CÁLCULO!$M$15:$M$266),VLOOKUP($B48,CÁLCULO!$M$15:$N$266,2,FALSE),0))</f>
        <v>0</v>
      </c>
      <c r="E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6">
        <f t="shared" ca="1" si="1"/>
        <v>35</v>
      </c>
      <c r="C49" s="327">
        <f ca="1">IF(AUTOEVENTO="Manual",IF($B49&lt;&gt;1,OFFSET(EVENTOS!$D$14,$B49,0),0),IF(B49&lt;=MAX(CÁLCULO!$M$15:$M$266),VLOOKUP($B49,CÁLCULO!$M$15:$N$266,2,FALSE),0))</f>
        <v>0</v>
      </c>
      <c r="E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6">
        <f t="shared" ca="1" si="1"/>
        <v>36</v>
      </c>
      <c r="C50" s="327">
        <f ca="1">IF(AUTOEVENTO="Manual",IF($B50&lt;&gt;1,OFFSET(EVENTOS!$D$14,$B50,0),0),IF(B50&lt;=MAX(CÁLCULO!$M$15:$M$266),VLOOKUP($B50,CÁLCULO!$M$15:$N$266,2,FALSE),0))</f>
        <v>0</v>
      </c>
      <c r="E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6">
        <f t="shared" ca="1" si="1"/>
        <v>37</v>
      </c>
      <c r="C51" s="327">
        <f ca="1">IF(AUTOEVENTO="Manual",IF($B51&lt;&gt;1,OFFSET(EVENTOS!$D$14,$B51,0),0),IF(B51&lt;=MAX(CÁLCULO!$M$15:$M$266),VLOOKUP($B51,CÁLCULO!$M$15:$N$266,2,FALSE),0))</f>
        <v>0</v>
      </c>
      <c r="E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6">
        <f t="shared" ca="1" si="1"/>
        <v>38</v>
      </c>
      <c r="C52" s="327">
        <f ca="1">IF(AUTOEVENTO="Manual",IF($B52&lt;&gt;1,OFFSET(EVENTOS!$D$14,$B52,0),0),IF(B52&lt;=MAX(CÁLCULO!$M$15:$M$266),VLOOKUP($B52,CÁLCULO!$M$15:$N$266,2,FALSE),0))</f>
        <v>0</v>
      </c>
      <c r="E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6">
        <f t="shared" ca="1" si="1"/>
        <v>39</v>
      </c>
      <c r="C53" s="327">
        <f ca="1">IF(AUTOEVENTO="Manual",IF($B53&lt;&gt;1,OFFSET(EVENTOS!$D$14,$B53,0),0),IF(B53&lt;=MAX(CÁLCULO!$M$15:$M$266),VLOOKUP($B53,CÁLCULO!$M$15:$N$266,2,FALSE),0))</f>
        <v>0</v>
      </c>
      <c r="E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6">
        <f t="shared" ca="1" si="1"/>
        <v>40</v>
      </c>
      <c r="C54" s="327">
        <f ca="1">IF(AUTOEVENTO="Manual",IF($B54&lt;&gt;1,OFFSET(EVENTOS!$D$14,$B54,0),0),IF(B54&lt;=MAX(CÁLCULO!$M$15:$M$266),VLOOKUP($B54,CÁLCULO!$M$15:$N$266,2,FALSE),0))</f>
        <v>0</v>
      </c>
      <c r="E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6">
        <f t="shared" ca="1" si="1"/>
        <v>41</v>
      </c>
      <c r="C55" s="327">
        <f ca="1">IF(AUTOEVENTO="Manual",IF($B55&lt;&gt;1,OFFSET(EVENTOS!$D$14,$B55,0),0),IF(B55&lt;=MAX(CÁLCULO!$M$15:$M$266),VLOOKUP($B55,CÁLCULO!$M$15:$N$266,2,FALSE),0))</f>
        <v>0</v>
      </c>
      <c r="E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6">
        <f t="shared" ca="1" si="1"/>
        <v>42</v>
      </c>
      <c r="C56" s="327">
        <f ca="1">IF(AUTOEVENTO="Manual",IF($B56&lt;&gt;1,OFFSET(EVENTOS!$D$14,$B56,0),0),IF(B56&lt;=MAX(CÁLCULO!$M$15:$M$266),VLOOKUP($B56,CÁLCULO!$M$15:$N$266,2,FALSE),0))</f>
        <v>0</v>
      </c>
      <c r="E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6">
        <f t="shared" ca="1" si="1"/>
        <v>43</v>
      </c>
      <c r="C57" s="327">
        <f ca="1">IF(AUTOEVENTO="Manual",IF($B57&lt;&gt;1,OFFSET(EVENTOS!$D$14,$B57,0),0),IF(B57&lt;=MAX(CÁLCULO!$M$15:$M$266),VLOOKUP($B57,CÁLCULO!$M$15:$N$266,2,FALSE),0))</f>
        <v>0</v>
      </c>
      <c r="E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6">
        <f t="shared" ca="1" si="1"/>
        <v>44</v>
      </c>
      <c r="C58" s="327">
        <f ca="1">IF(AUTOEVENTO="Manual",IF($B58&lt;&gt;1,OFFSET(EVENTOS!$D$14,$B58,0),0),IF(B58&lt;=MAX(CÁLCULO!$M$15:$M$266),VLOOKUP($B58,CÁLCULO!$M$15:$N$266,2,FALSE),0))</f>
        <v>0</v>
      </c>
      <c r="E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6">
        <f t="shared" ca="1" si="1"/>
        <v>45</v>
      </c>
      <c r="C59" s="327">
        <f ca="1">IF(AUTOEVENTO="Manual",IF($B59&lt;&gt;1,OFFSET(EVENTOS!$D$14,$B59,0),0),IF(B59&lt;=MAX(CÁLCULO!$M$15:$M$266),VLOOKUP($B59,CÁLCULO!$M$15:$N$266,2,FALSE),0))</f>
        <v>0</v>
      </c>
      <c r="E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6">
        <f t="shared" ca="1" si="1"/>
        <v>46</v>
      </c>
      <c r="C60" s="327">
        <f ca="1">IF(AUTOEVENTO="Manual",IF($B60&lt;&gt;1,OFFSET(EVENTOS!$D$14,$B60,0),0),IF(B60&lt;=MAX(CÁLCULO!$M$15:$M$266),VLOOKUP($B60,CÁLCULO!$M$15:$N$266,2,FALSE),0))</f>
        <v>0</v>
      </c>
      <c r="E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6">
        <f t="shared" ca="1" si="1"/>
        <v>47</v>
      </c>
      <c r="C61" s="327">
        <f ca="1">IF(AUTOEVENTO="Manual",IF($B61&lt;&gt;1,OFFSET(EVENTOS!$D$14,$B61,0),0),IF(B61&lt;=MAX(CÁLCULO!$M$15:$M$266),VLOOKUP($B61,CÁLCULO!$M$15:$N$266,2,FALSE),0))</f>
        <v>0</v>
      </c>
      <c r="E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6">
        <f t="shared" ca="1" si="1"/>
        <v>48</v>
      </c>
      <c r="C62" s="327">
        <f ca="1">IF(AUTOEVENTO="Manual",IF($B62&lt;&gt;1,OFFSET(EVENTOS!$D$14,$B62,0),0),IF(B62&lt;=MAX(CÁLCULO!$M$15:$M$266),VLOOKUP($B62,CÁLCULO!$M$15:$N$266,2,FALSE),0))</f>
        <v>0</v>
      </c>
      <c r="E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6">
        <f t="shared" ca="1" si="1"/>
        <v>49</v>
      </c>
      <c r="C63" s="327">
        <f ca="1">IF(AUTOEVENTO="Manual",IF($B63&lt;&gt;1,OFFSET(EVENTOS!$D$14,$B63,0),0),IF(B63&lt;=MAX(CÁLCULO!$M$15:$M$266),VLOOKUP($B63,CÁLCULO!$M$15:$N$266,2,FALSE),0))</f>
        <v>0</v>
      </c>
      <c r="E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6">
        <f t="shared" ca="1" si="1"/>
        <v>50</v>
      </c>
      <c r="C64" s="327">
        <f ca="1">IF(AUTOEVENTO="Manual",IF($B64&lt;&gt;1,OFFSET(EVENTOS!$D$14,$B64,0),0),IF(B64&lt;=MAX(CÁLCULO!$M$15:$M$266),VLOOKUP($B64,CÁLCULO!$M$15:$N$266,2,FALSE),0))</f>
        <v>0</v>
      </c>
      <c r="E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</row>
    <row r="65" spans="2:31" ht="5.0999999999999996" customHeight="1" x14ac:dyDescent="0.2">
      <c r="B65" s="561"/>
      <c r="C65" s="562"/>
      <c r="E65" s="342"/>
      <c r="F65" s="342"/>
      <c r="G65" s="561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2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H16" sqref="H16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6" t="e">
        <f ca="1">OFFSET(B1,-1,0)+1</f>
        <v>#REF!</v>
      </c>
      <c r="C1" s="743" t="e">
        <f ca="1">IF(AUTOEVENTO="Manual",IF($B1&lt;&gt;1,OFFSET(EVENTOS!$D$14,$B1,0),0),IF(B1&lt;=MAX(CÁLCULO!$M$15:$M$266),VLOOKUP($B1,CÁLCULO!$M$15:$N$266,2,FALSE),0))</f>
        <v>#REF!</v>
      </c>
      <c r="D1" s="743"/>
      <c r="F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</row>
    <row r="2" spans="1:33" hidden="1" x14ac:dyDescent="0.2">
      <c r="A2" s="9"/>
      <c r="B2" s="570"/>
      <c r="C2" s="571"/>
      <c r="D2" s="571"/>
      <c r="F2" s="572"/>
    </row>
    <row r="3" spans="1:33" ht="50.1" customHeight="1" x14ac:dyDescent="0.25">
      <c r="H3" s="263" t="s">
        <v>292</v>
      </c>
      <c r="AD3" s="688" t="s">
        <v>139</v>
      </c>
      <c r="AE3" s="688"/>
      <c r="AF3" s="688"/>
    </row>
    <row r="4" spans="1:33" ht="15.75" x14ac:dyDescent="0.2">
      <c r="B4" s="102"/>
      <c r="C4" s="102"/>
      <c r="H4" s="106" t="str">
        <f>import.recurso</f>
        <v>(SELECIONAR)</v>
      </c>
      <c r="AD4" s="689" t="s">
        <v>142</v>
      </c>
      <c r="AE4" s="689"/>
      <c r="AF4" s="689"/>
    </row>
    <row r="6" spans="1:33" x14ac:dyDescent="0.2">
      <c r="B6" s="267" t="s">
        <v>438</v>
      </c>
      <c r="C6" s="343"/>
      <c r="D6" s="269" t="s">
        <v>439</v>
      </c>
      <c r="E6" s="59"/>
      <c r="H6" s="270" t="s">
        <v>271</v>
      </c>
      <c r="I6" s="264"/>
      <c r="J6" s="264"/>
      <c r="K6" s="264"/>
      <c r="L6" s="265"/>
      <c r="M6" s="265"/>
      <c r="N6" s="344"/>
      <c r="O6" s="267" t="s">
        <v>272</v>
      </c>
      <c r="P6" s="271"/>
      <c r="Q6" s="100"/>
      <c r="R6" s="264"/>
      <c r="S6" s="264"/>
      <c r="T6" s="264"/>
      <c r="U6" s="268"/>
      <c r="V6" s="267" t="str">
        <f>IF(TIPOORCAMENTO="Licitado","NOME DA EMPRESA","DESCRIÇÃO DO LOTE")</f>
        <v>DESCRIÇÃO DO LOTE</v>
      </c>
      <c r="W6" s="264"/>
      <c r="X6" s="264"/>
      <c r="Y6" s="264"/>
      <c r="Z6" s="100"/>
      <c r="AA6" s="100"/>
      <c r="AB6" s="100"/>
      <c r="AC6" s="100"/>
      <c r="AD6" s="59"/>
      <c r="AE6" s="746" t="str">
        <f>IF(TIPOORCAMENTO="Licitado","Nº CTEF","")</f>
        <v/>
      </c>
      <c r="AF6" s="746"/>
    </row>
    <row r="7" spans="1:33" x14ac:dyDescent="0.2">
      <c r="B7" s="721">
        <f>Import.CR</f>
        <v>0</v>
      </c>
      <c r="C7" s="721"/>
      <c r="D7" s="273">
        <f>Import.SICONV</f>
        <v>0</v>
      </c>
      <c r="E7" s="54"/>
      <c r="H7" s="720" t="str">
        <f>Import.Proponente</f>
        <v>MUNICIPIO DE CÉU AZUL</v>
      </c>
      <c r="I7" s="720"/>
      <c r="J7" s="720"/>
      <c r="K7" s="720"/>
      <c r="L7" s="720"/>
      <c r="M7" s="720"/>
      <c r="N7" s="720"/>
      <c r="O7" s="721" t="str">
        <f>Import.Apelido</f>
        <v>PAÇO MUNICIPAL</v>
      </c>
      <c r="P7" s="721"/>
      <c r="Q7" s="721"/>
      <c r="R7" s="721"/>
      <c r="S7" s="721"/>
      <c r="T7" s="721"/>
      <c r="U7" s="721"/>
      <c r="V7" s="721" t="str">
        <f>IF(TIPOORCAMENTO="Licitado",Import.empresa,Import.DescLote)</f>
        <v>REFORMA DO PAÇO MUNICIPAL</v>
      </c>
      <c r="W7" s="721"/>
      <c r="X7" s="721"/>
      <c r="Y7" s="721"/>
      <c r="Z7" s="721"/>
      <c r="AA7" s="721"/>
      <c r="AB7" s="721"/>
      <c r="AC7" s="721"/>
      <c r="AD7" s="721"/>
      <c r="AE7" s="750" t="str">
        <f>IF(TIPOORCAMENTO="Licitado",Import.CTEF,"")</f>
        <v/>
      </c>
      <c r="AF7" s="750"/>
      <c r="AG7" s="345"/>
    </row>
    <row r="8" spans="1:33" x14ac:dyDescent="0.2">
      <c r="AG8" s="100"/>
    </row>
    <row r="9" spans="1:33" ht="15.75" x14ac:dyDescent="0.25">
      <c r="A9" s="513">
        <v>0</v>
      </c>
      <c r="B9" s="346"/>
      <c r="C9" s="346"/>
      <c r="I9" s="347" t="s">
        <v>293</v>
      </c>
      <c r="J9" s="748">
        <v>1</v>
      </c>
      <c r="K9" s="748"/>
      <c r="M9" s="347" t="s">
        <v>282</v>
      </c>
      <c r="N9" s="749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9"/>
      <c r="P9" s="749"/>
      <c r="Q9" s="749"/>
      <c r="R9" s="749"/>
      <c r="S9" s="749"/>
      <c r="T9" s="749"/>
      <c r="U9" s="348"/>
      <c r="X9" s="347" t="s">
        <v>294</v>
      </c>
      <c r="Y9" s="751">
        <f ca="1">OFFSET($I$69,1+8*(ROUNDUP(($J$9-0)/((COLUMN($AG$14)-COLUMN($G$14)-1)/25*12),0)-1),ROUNDDOWN((($J$9-0)-OFFSET($I$69,8*(ROUNDUP(($J$9-0)/((COLUMN($AG$14)-COLUMN($G$14)-1)/25*12),0)-1),0))*(2+1/12),0))</f>
        <v>2.5314830248512537E-2</v>
      </c>
      <c r="Z9" s="751"/>
      <c r="AD9" s="347" t="s">
        <v>295</v>
      </c>
      <c r="AE9" s="751">
        <f ca="1">OFFSET($I$69,3+8*(ROUNDUP(($J$9-0)/((COLUMN($AG$14)-COLUMN($G$14)-1)/25*12),0)-1),ROUNDDOWN((($J$9-0)-OFFSET($I$69,8*(ROUNDUP(($J$9-0)/((COLUMN($AG$14)-COLUMN($G$14)-1)/25*12),0)-1),0))*(2+1/12),0))</f>
        <v>2.5314830248512537E-2</v>
      </c>
      <c r="AF9" s="751"/>
    </row>
    <row r="11" spans="1:33" ht="65.25" customHeight="1" x14ac:dyDescent="0.2">
      <c r="A11" s="330" t="s">
        <v>289</v>
      </c>
      <c r="C11" s="747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7"/>
      <c r="F11" s="332" t="str">
        <f ca="1">IF(F$12&gt;CÁLCULO.NúmeroDeFrentes,"",OFFSET(CÁLCULO!$P$12,0,F$12))</f>
        <v>META 01</v>
      </c>
      <c r="H11" s="332" t="str">
        <f ca="1">IF(H$12&gt;CÁLCULO.NúmeroDeFrentes,"",OFFSET(CÁLCULO!$P$12,0,H$12))</f>
        <v>META 01</v>
      </c>
      <c r="I11" s="332" t="str">
        <f ca="1">IF(I$12&gt;CÁLCULO.NúmeroDeFrentes,"",OFFSET(CÁLCULO!$P$12,0,I$12))</f>
        <v>META 02</v>
      </c>
      <c r="J11" s="332" t="str">
        <f ca="1">IF(J$12&gt;CÁLCULO.NúmeroDeFrentes,"",OFFSET(CÁLCULO!$P$12,0,J$12))</f>
        <v>META 03</v>
      </c>
      <c r="K11" s="332">
        <f ca="1">IF(K$12&gt;CÁLCULO.NúmeroDeFrentes,"",OFFSET(CÁLCULO!$P$12,0,K$12))</f>
        <v>0</v>
      </c>
      <c r="L11" s="332">
        <f ca="1">IF(L$12&gt;CÁLCULO.NúmeroDeFrentes,"",OFFSET(CÁLCULO!$P$12,0,L$12))</f>
        <v>0</v>
      </c>
      <c r="M11" s="332">
        <f ca="1">IF(M$12&gt;CÁLCULO.NúmeroDeFrentes,"",OFFSET(CÁLCULO!$P$12,0,M$12))</f>
        <v>0</v>
      </c>
      <c r="N11" s="332">
        <f ca="1">IF(N$12&gt;CÁLCULO.NúmeroDeFrentes,"",OFFSET(CÁLCULO!$P$12,0,N$12))</f>
        <v>0</v>
      </c>
      <c r="O11" s="332">
        <f ca="1">IF(O$12&gt;CÁLCULO.NúmeroDeFrentes,"",OFFSET(CÁLCULO!$P$12,0,O$12))</f>
        <v>0</v>
      </c>
      <c r="P11" s="332">
        <f ca="1">IF(P$12&gt;CÁLCULO.NúmeroDeFrentes,"",OFFSET(CÁLCULO!$P$12,0,P$12))</f>
        <v>0</v>
      </c>
      <c r="Q11" s="332">
        <f ca="1">IF(Q$12&gt;CÁLCULO.NúmeroDeFrentes,"",OFFSET(CÁLCULO!$P$12,0,Q$12))</f>
        <v>0</v>
      </c>
      <c r="R11" s="332" t="str">
        <f ca="1">IF(R$12&gt;CÁLCULO.NúmeroDeFrentes,"",OFFSET(CÁLCULO!$P$12,0,R$12))</f>
        <v/>
      </c>
      <c r="S11" s="332" t="str">
        <f ca="1">IF(S$12&gt;CÁLCULO.NúmeroDeFrentes,"",OFFSET(CÁLCULO!$P$12,0,S$12))</f>
        <v/>
      </c>
      <c r="T11" s="332" t="str">
        <f ca="1">IF(T$12&gt;CÁLCULO.NúmeroDeFrentes,"",OFFSET(CÁLCULO!$P$12,0,T$12))</f>
        <v/>
      </c>
      <c r="U11" s="332" t="str">
        <f ca="1">IF(U$12&gt;CÁLCULO.NúmeroDeFrentes,"",OFFSET(CÁLCULO!$P$12,0,U$12))</f>
        <v/>
      </c>
      <c r="V11" s="332" t="str">
        <f ca="1">IF(V$12&gt;CÁLCULO.NúmeroDeFrentes,"",OFFSET(CÁLCULO!$P$12,0,V$12))</f>
        <v/>
      </c>
      <c r="W11" s="332" t="str">
        <f ca="1">IF(W$12&gt;CÁLCULO.NúmeroDeFrentes,"",OFFSET(CÁLCULO!$P$12,0,W$12))</f>
        <v/>
      </c>
      <c r="X11" s="332" t="str">
        <f ca="1">IF(X$12&gt;CÁLCULO.NúmeroDeFrentes,"",OFFSET(CÁLCULO!$P$12,0,X$12))</f>
        <v/>
      </c>
      <c r="Y11" s="332" t="str">
        <f ca="1">IF(Y$12&gt;CÁLCULO.NúmeroDeFrentes,"",OFFSET(CÁLCULO!$P$12,0,Y$12))</f>
        <v/>
      </c>
      <c r="Z11" s="332" t="str">
        <f ca="1">IF(Z$12&gt;CÁLCULO.NúmeroDeFrentes,"",OFFSET(CÁLCULO!$P$12,0,Z$12))</f>
        <v/>
      </c>
      <c r="AA11" s="332" t="str">
        <f ca="1">IF(AA$12&gt;CÁLCULO.NúmeroDeFrentes,"",OFFSET(CÁLCULO!$P$12,0,AA$12))</f>
        <v/>
      </c>
      <c r="AB11" s="332" t="str">
        <f ca="1">IF(AB$12&gt;CÁLCULO.NúmeroDeFrentes,"",OFFSET(CÁLCULO!$P$12,0,AB$12))</f>
        <v/>
      </c>
      <c r="AC11" s="332" t="str">
        <f ca="1">IF(AC$12&gt;CÁLCULO.NúmeroDeFrentes,"",OFFSET(CÁLCULO!$P$12,0,AC$12))</f>
        <v/>
      </c>
      <c r="AD11" s="332" t="str">
        <f ca="1">IF(AD$12&gt;CÁLCULO.NúmeroDeFrentes,"",OFFSET(CÁLCULO!$P$12,0,AD$12))</f>
        <v/>
      </c>
      <c r="AE11" s="332" t="str">
        <f ca="1">IF(AE$12&gt;CÁLCULO.NúmeroDeFrentes,"",OFFSET(CÁLCULO!$P$12,0,AE$12))</f>
        <v/>
      </c>
      <c r="AF11" s="332" t="str">
        <f ca="1">IF(AF$12&gt;CÁLCULO.NúmeroDeFrentes,"",OFFSET(CÁLCULO!$P$12,0,AF$12))</f>
        <v/>
      </c>
    </row>
    <row r="12" spans="1:33" ht="12.75" customHeight="1" x14ac:dyDescent="0.2">
      <c r="A12" s="135" t="s">
        <v>216</v>
      </c>
      <c r="B12" s="728" t="s">
        <v>265</v>
      </c>
      <c r="C12" s="728" t="s">
        <v>290</v>
      </c>
      <c r="D12" s="728"/>
      <c r="F12" s="333">
        <f ca="1">OFFSET(F12,0,-1)+1</f>
        <v>1</v>
      </c>
      <c r="H12" s="333">
        <f ca="1">OFFSET(H12,0,-1)+1</f>
        <v>1</v>
      </c>
      <c r="I12" s="333">
        <f ca="1">OFFSET(I12,0,-1)+1</f>
        <v>2</v>
      </c>
      <c r="J12" s="333">
        <f t="shared" ref="J12:AF12" ca="1" si="0">OFFSET(J12,0,-1)+1</f>
        <v>3</v>
      </c>
      <c r="K12" s="333">
        <f t="shared" ca="1" si="0"/>
        <v>4</v>
      </c>
      <c r="L12" s="333">
        <f t="shared" ca="1" si="0"/>
        <v>5</v>
      </c>
      <c r="M12" s="333">
        <f t="shared" ca="1" si="0"/>
        <v>6</v>
      </c>
      <c r="N12" s="333">
        <f t="shared" ca="1" si="0"/>
        <v>7</v>
      </c>
      <c r="O12" s="333">
        <f t="shared" ca="1" si="0"/>
        <v>8</v>
      </c>
      <c r="P12" s="333">
        <f t="shared" ca="1" si="0"/>
        <v>9</v>
      </c>
      <c r="Q12" s="333">
        <f t="shared" ca="1" si="0"/>
        <v>10</v>
      </c>
      <c r="R12" s="333">
        <f t="shared" ca="1" si="0"/>
        <v>11</v>
      </c>
      <c r="S12" s="333">
        <f t="shared" ca="1" si="0"/>
        <v>12</v>
      </c>
      <c r="T12" s="333">
        <f t="shared" ca="1" si="0"/>
        <v>13</v>
      </c>
      <c r="U12" s="333">
        <f t="shared" ca="1" si="0"/>
        <v>14</v>
      </c>
      <c r="V12" s="333">
        <f t="shared" ca="1" si="0"/>
        <v>15</v>
      </c>
      <c r="W12" s="333">
        <f t="shared" ca="1" si="0"/>
        <v>16</v>
      </c>
      <c r="X12" s="333">
        <f t="shared" ca="1" si="0"/>
        <v>17</v>
      </c>
      <c r="Y12" s="333">
        <f t="shared" ca="1" si="0"/>
        <v>18</v>
      </c>
      <c r="Z12" s="333">
        <f t="shared" ca="1" si="0"/>
        <v>19</v>
      </c>
      <c r="AA12" s="333">
        <f t="shared" ca="1" si="0"/>
        <v>20</v>
      </c>
      <c r="AB12" s="333">
        <f t="shared" ca="1" si="0"/>
        <v>21</v>
      </c>
      <c r="AC12" s="333">
        <f t="shared" ca="1" si="0"/>
        <v>22</v>
      </c>
      <c r="AD12" s="333">
        <f t="shared" ca="1" si="0"/>
        <v>23</v>
      </c>
      <c r="AE12" s="333">
        <f t="shared" ca="1" si="0"/>
        <v>24</v>
      </c>
      <c r="AF12" s="333">
        <f t="shared" ca="1" si="0"/>
        <v>25</v>
      </c>
    </row>
    <row r="13" spans="1:33" x14ac:dyDescent="0.2">
      <c r="B13" s="728"/>
      <c r="C13" s="728"/>
      <c r="D13" s="728"/>
      <c r="F13" s="335"/>
      <c r="H13" s="335"/>
      <c r="I13" s="334"/>
      <c r="J13" s="334"/>
      <c r="K13" s="334"/>
      <c r="L13" s="334"/>
      <c r="M13" s="334"/>
      <c r="N13" s="334" t="s">
        <v>296</v>
      </c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6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7">
        <v>1</v>
      </c>
      <c r="C15" s="745" t="s">
        <v>268</v>
      </c>
      <c r="D15" s="745"/>
      <c r="F15" s="340"/>
      <c r="H15" s="340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41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6">
        <f t="shared" ref="B16:B64" ca="1" si="1">OFFSET(B16,-1,0)+1</f>
        <v>2</v>
      </c>
      <c r="C16" s="743" t="str">
        <f ca="1">IF(AUTOEVENTO="Manual",IF($B16&lt;&gt;1,OFFSET(EVENTOS!$D$14,$B16,0),0),IF(B16&lt;=MAX(CÁLCULO!$M$15:$M$266),VLOOKUP($B16,CÁLCULO!$M$15:$N$266,2,FALSE),0))</f>
        <v>SERVIÇOS PRELIMINARES</v>
      </c>
      <c r="D16" s="743"/>
      <c r="F16" s="328"/>
      <c r="H16" s="328">
        <v>1</v>
      </c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6">
        <f t="shared" ca="1" si="1"/>
        <v>3</v>
      </c>
      <c r="C17" s="743" t="str">
        <f ca="1">IF(AUTOEVENTO="Manual",IF($B17&lt;&gt;1,OFFSET(EVENTOS!$D$14,$B17,0),0),IF(B17&lt;=MAX(CÁLCULO!$M$15:$M$266),VLOOKUP($B17,CÁLCULO!$M$15:$N$266,2,FALSE),0))</f>
        <v>ESQUADRIAS</v>
      </c>
      <c r="D17" s="743"/>
      <c r="F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6">
        <f t="shared" ca="1" si="1"/>
        <v>4</v>
      </c>
      <c r="C18" s="743" t="str">
        <f ca="1">IF(AUTOEVENTO="Manual",IF($B18&lt;&gt;1,OFFSET(EVENTOS!$D$14,$B18,0),0),IF(B18&lt;=MAX(CÁLCULO!$M$15:$M$266),VLOOKUP($B18,CÁLCULO!$M$15:$N$266,2,FALSE),0))</f>
        <v>ALVENARIA</v>
      </c>
      <c r="D18" s="743"/>
      <c r="F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6">
        <f t="shared" ca="1" si="1"/>
        <v>5</v>
      </c>
      <c r="C19" s="743" t="str">
        <f ca="1">IF(AUTOEVENTO="Manual",IF($B19&lt;&gt;1,OFFSET(EVENTOS!$D$14,$B19,0),0),IF(B19&lt;=MAX(CÁLCULO!$M$15:$M$266),VLOOKUP($B19,CÁLCULO!$M$15:$N$266,2,FALSE),0))</f>
        <v>PINTURAS E TEXTURAS</v>
      </c>
      <c r="D19" s="743"/>
      <c r="F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</row>
    <row r="20" spans="1:32" x14ac:dyDescent="0.2">
      <c r="A20" s="9" t="str">
        <f ca="1">IF(AUTOEVENTO="Manual",IF(OFFSET(EVENTOS!$F$14,PLE!$B20,0)&gt;0,"F",""),IF(PLE!B20&lt;=MAX(CÁLCULO!$M$15:$M$266),"F",""))</f>
        <v/>
      </c>
      <c r="B20" s="326">
        <f t="shared" ca="1" si="1"/>
        <v>6</v>
      </c>
      <c r="C20" s="743">
        <f ca="1">IF(AUTOEVENTO="Manual",IF($B20&lt;&gt;1,OFFSET(EVENTOS!$D$14,$B20,0),0),IF(B20&lt;=MAX(CÁLCULO!$M$15:$M$266),VLOOKUP($B20,CÁLCULO!$M$15:$N$266,2,FALSE),0))</f>
        <v>0</v>
      </c>
      <c r="D20" s="743"/>
      <c r="F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6">
        <f t="shared" ca="1" si="1"/>
        <v>7</v>
      </c>
      <c r="C21" s="743">
        <f ca="1">IF(AUTOEVENTO="Manual",IF($B21&lt;&gt;1,OFFSET(EVENTOS!$D$14,$B21,0),0),IF(B21&lt;=MAX(CÁLCULO!$M$15:$M$266),VLOOKUP($B21,CÁLCULO!$M$15:$N$266,2,FALSE),0))</f>
        <v>0</v>
      </c>
      <c r="D21" s="743"/>
      <c r="F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6">
        <f t="shared" ca="1" si="1"/>
        <v>8</v>
      </c>
      <c r="C22" s="743">
        <f ca="1">IF(AUTOEVENTO="Manual",IF($B22&lt;&gt;1,OFFSET(EVENTOS!$D$14,$B22,0),0),IF(B22&lt;=MAX(CÁLCULO!$M$15:$M$266),VLOOKUP($B22,CÁLCULO!$M$15:$N$266,2,FALSE),0))</f>
        <v>0</v>
      </c>
      <c r="D22" s="743"/>
      <c r="F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6">
        <f t="shared" ca="1" si="1"/>
        <v>9</v>
      </c>
      <c r="C23" s="743">
        <f ca="1">IF(AUTOEVENTO="Manual",IF($B23&lt;&gt;1,OFFSET(EVENTOS!$D$14,$B23,0),0),IF(B23&lt;=MAX(CÁLCULO!$M$15:$M$266),VLOOKUP($B23,CÁLCULO!$M$15:$N$266,2,FALSE),0))</f>
        <v>0</v>
      </c>
      <c r="D23" s="743"/>
      <c r="F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6">
        <f t="shared" ca="1" si="1"/>
        <v>10</v>
      </c>
      <c r="C24" s="743">
        <f ca="1">IF(AUTOEVENTO="Manual",IF($B24&lt;&gt;1,OFFSET(EVENTOS!$D$14,$B24,0),0),IF(B24&lt;=MAX(CÁLCULO!$M$15:$M$266),VLOOKUP($B24,CÁLCULO!$M$15:$N$266,2,FALSE),0))</f>
        <v>0</v>
      </c>
      <c r="D24" s="743"/>
      <c r="F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6">
        <f t="shared" ca="1" si="1"/>
        <v>11</v>
      </c>
      <c r="C25" s="743">
        <f ca="1">IF(AUTOEVENTO="Manual",IF($B25&lt;&gt;1,OFFSET(EVENTOS!$D$14,$B25,0),0),IF(B25&lt;=MAX(CÁLCULO!$M$15:$M$266),VLOOKUP($B25,CÁLCULO!$M$15:$N$266,2,FALSE),0))</f>
        <v>0</v>
      </c>
      <c r="D25" s="743"/>
      <c r="F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6">
        <f t="shared" ca="1" si="1"/>
        <v>12</v>
      </c>
      <c r="C26" s="743">
        <f ca="1">IF(AUTOEVENTO="Manual",IF($B26&lt;&gt;1,OFFSET(EVENTOS!$D$14,$B26,0),0),IF(B26&lt;=MAX(CÁLCULO!$M$15:$M$266),VLOOKUP($B26,CÁLCULO!$M$15:$N$266,2,FALSE),0))</f>
        <v>0</v>
      </c>
      <c r="D26" s="743"/>
      <c r="F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6">
        <f t="shared" ca="1" si="1"/>
        <v>13</v>
      </c>
      <c r="C27" s="743">
        <f ca="1">IF(AUTOEVENTO="Manual",IF($B27&lt;&gt;1,OFFSET(EVENTOS!$D$14,$B27,0),0),IF(B27&lt;=MAX(CÁLCULO!$M$15:$M$266),VLOOKUP($B27,CÁLCULO!$M$15:$N$266,2,FALSE),0))</f>
        <v>0</v>
      </c>
      <c r="D27" s="743"/>
      <c r="F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6">
        <f t="shared" ca="1" si="1"/>
        <v>14</v>
      </c>
      <c r="C28" s="743">
        <f ca="1">IF(AUTOEVENTO="Manual",IF($B28&lt;&gt;1,OFFSET(EVENTOS!$D$14,$B28,0),0),IF(B28&lt;=MAX(CÁLCULO!$M$15:$M$266),VLOOKUP($B28,CÁLCULO!$M$15:$N$266,2,FALSE),0))</f>
        <v>0</v>
      </c>
      <c r="D28" s="743"/>
      <c r="F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6">
        <f t="shared" ca="1" si="1"/>
        <v>15</v>
      </c>
      <c r="C29" s="743">
        <f ca="1">IF(AUTOEVENTO="Manual",IF($B29&lt;&gt;1,OFFSET(EVENTOS!$D$14,$B29,0),0),IF(B29&lt;=MAX(CÁLCULO!$M$15:$M$266),VLOOKUP($B29,CÁLCULO!$M$15:$N$266,2,FALSE),0))</f>
        <v>0</v>
      </c>
      <c r="D29" s="743"/>
      <c r="F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6">
        <f t="shared" ca="1" si="1"/>
        <v>16</v>
      </c>
      <c r="C30" s="743">
        <f ca="1">IF(AUTOEVENTO="Manual",IF($B30&lt;&gt;1,OFFSET(EVENTOS!$D$14,$B30,0),0),IF(B30&lt;=MAX(CÁLCULO!$M$15:$M$266),VLOOKUP($B30,CÁLCULO!$M$15:$N$266,2,FALSE),0))</f>
        <v>0</v>
      </c>
      <c r="D30" s="743"/>
      <c r="F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6">
        <f t="shared" ca="1" si="1"/>
        <v>17</v>
      </c>
      <c r="C31" s="743">
        <f ca="1">IF(AUTOEVENTO="Manual",IF($B31&lt;&gt;1,OFFSET(EVENTOS!$D$14,$B31,0),0),IF(B31&lt;=MAX(CÁLCULO!$M$15:$M$266),VLOOKUP($B31,CÁLCULO!$M$15:$N$266,2,FALSE),0))</f>
        <v>0</v>
      </c>
      <c r="D31" s="743"/>
      <c r="F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6">
        <f t="shared" ca="1" si="1"/>
        <v>18</v>
      </c>
      <c r="C32" s="743">
        <f ca="1">IF(AUTOEVENTO="Manual",IF($B32&lt;&gt;1,OFFSET(EVENTOS!$D$14,$B32,0),0),IF(B32&lt;=MAX(CÁLCULO!$M$15:$M$266),VLOOKUP($B32,CÁLCULO!$M$15:$N$266,2,FALSE),0))</f>
        <v>0</v>
      </c>
      <c r="D32" s="743"/>
      <c r="F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6">
        <f t="shared" ca="1" si="1"/>
        <v>19</v>
      </c>
      <c r="C33" s="743">
        <f ca="1">IF(AUTOEVENTO="Manual",IF($B33&lt;&gt;1,OFFSET(EVENTOS!$D$14,$B33,0),0),IF(B33&lt;=MAX(CÁLCULO!$M$15:$M$266),VLOOKUP($B33,CÁLCULO!$M$15:$N$266,2,FALSE),0))</f>
        <v>0</v>
      </c>
      <c r="D33" s="743"/>
      <c r="F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6">
        <f t="shared" ca="1" si="1"/>
        <v>20</v>
      </c>
      <c r="C34" s="743">
        <f ca="1">IF(AUTOEVENTO="Manual",IF($B34&lt;&gt;1,OFFSET(EVENTOS!$D$14,$B34,0),0),IF(B34&lt;=MAX(CÁLCULO!$M$15:$M$266),VLOOKUP($B34,CÁLCULO!$M$15:$N$266,2,FALSE),0))</f>
        <v>0</v>
      </c>
      <c r="D34" s="743"/>
      <c r="F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6">
        <f t="shared" ca="1" si="1"/>
        <v>21</v>
      </c>
      <c r="C35" s="743">
        <f ca="1">IF(AUTOEVENTO="Manual",IF($B35&lt;&gt;1,OFFSET(EVENTOS!$D$14,$B35,0),0),IF(B35&lt;=MAX(CÁLCULO!$M$15:$M$266),VLOOKUP($B35,CÁLCULO!$M$15:$N$266,2,FALSE),0))</f>
        <v>0</v>
      </c>
      <c r="D35" s="743"/>
      <c r="F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6">
        <f t="shared" ca="1" si="1"/>
        <v>22</v>
      </c>
      <c r="C36" s="743">
        <f ca="1">IF(AUTOEVENTO="Manual",IF($B36&lt;&gt;1,OFFSET(EVENTOS!$D$14,$B36,0),0),IF(B36&lt;=MAX(CÁLCULO!$M$15:$M$266),VLOOKUP($B36,CÁLCULO!$M$15:$N$266,2,FALSE),0))</f>
        <v>0</v>
      </c>
      <c r="D36" s="743"/>
      <c r="F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6">
        <f t="shared" ca="1" si="1"/>
        <v>23</v>
      </c>
      <c r="C37" s="743">
        <f ca="1">IF(AUTOEVENTO="Manual",IF($B37&lt;&gt;1,OFFSET(EVENTOS!$D$14,$B37,0),0),IF(B37&lt;=MAX(CÁLCULO!$M$15:$M$266),VLOOKUP($B37,CÁLCULO!$M$15:$N$266,2,FALSE),0))</f>
        <v>0</v>
      </c>
      <c r="D37" s="743"/>
      <c r="F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6">
        <f t="shared" ca="1" si="1"/>
        <v>24</v>
      </c>
      <c r="C38" s="743">
        <f ca="1">IF(AUTOEVENTO="Manual",IF($B38&lt;&gt;1,OFFSET(EVENTOS!$D$14,$B38,0),0),IF(B38&lt;=MAX(CÁLCULO!$M$15:$M$266),VLOOKUP($B38,CÁLCULO!$M$15:$N$266,2,FALSE),0))</f>
        <v>0</v>
      </c>
      <c r="D38" s="743"/>
      <c r="F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6">
        <f t="shared" ca="1" si="1"/>
        <v>25</v>
      </c>
      <c r="C39" s="743">
        <f ca="1">IF(AUTOEVENTO="Manual",IF($B39&lt;&gt;1,OFFSET(EVENTOS!$D$14,$B39,0),0),IF(B39&lt;=MAX(CÁLCULO!$M$15:$M$266),VLOOKUP($B39,CÁLCULO!$M$15:$N$266,2,FALSE),0))</f>
        <v>0</v>
      </c>
      <c r="D39" s="743"/>
      <c r="F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6">
        <f t="shared" ca="1" si="1"/>
        <v>26</v>
      </c>
      <c r="C40" s="743">
        <f ca="1">IF(AUTOEVENTO="Manual",IF($B40&lt;&gt;1,OFFSET(EVENTOS!$D$14,$B40,0),0),IF(B40&lt;=MAX(CÁLCULO!$M$15:$M$266),VLOOKUP($B40,CÁLCULO!$M$15:$N$266,2,FALSE),0))</f>
        <v>0</v>
      </c>
      <c r="D40" s="743"/>
      <c r="F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6">
        <f t="shared" ca="1" si="1"/>
        <v>27</v>
      </c>
      <c r="C41" s="743">
        <f ca="1">IF(AUTOEVENTO="Manual",IF($B41&lt;&gt;1,OFFSET(EVENTOS!$D$14,$B41,0),0),IF(B41&lt;=MAX(CÁLCULO!$M$15:$M$266),VLOOKUP($B41,CÁLCULO!$M$15:$N$266,2,FALSE),0))</f>
        <v>0</v>
      </c>
      <c r="D41" s="743"/>
      <c r="F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6">
        <f t="shared" ca="1" si="1"/>
        <v>28</v>
      </c>
      <c r="C42" s="743">
        <f ca="1">IF(AUTOEVENTO="Manual",IF($B42&lt;&gt;1,OFFSET(EVENTOS!$D$14,$B42,0),0),IF(B42&lt;=MAX(CÁLCULO!$M$15:$M$266),VLOOKUP($B42,CÁLCULO!$M$15:$N$266,2,FALSE),0))</f>
        <v>0</v>
      </c>
      <c r="D42" s="743"/>
      <c r="F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6">
        <f t="shared" ca="1" si="1"/>
        <v>29</v>
      </c>
      <c r="C43" s="743">
        <f ca="1">IF(AUTOEVENTO="Manual",IF($B43&lt;&gt;1,OFFSET(EVENTOS!$D$14,$B43,0),0),IF(B43&lt;=MAX(CÁLCULO!$M$15:$M$266),VLOOKUP($B43,CÁLCULO!$M$15:$N$266,2,FALSE),0))</f>
        <v>0</v>
      </c>
      <c r="D43" s="743"/>
      <c r="F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6">
        <f t="shared" ca="1" si="1"/>
        <v>30</v>
      </c>
      <c r="C44" s="743">
        <f ca="1">IF(AUTOEVENTO="Manual",IF($B44&lt;&gt;1,OFFSET(EVENTOS!$D$14,$B44,0),0),IF(B44&lt;=MAX(CÁLCULO!$M$15:$M$266),VLOOKUP($B44,CÁLCULO!$M$15:$N$266,2,FALSE),0))</f>
        <v>0</v>
      </c>
      <c r="D44" s="743"/>
      <c r="F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6">
        <f t="shared" ca="1" si="1"/>
        <v>31</v>
      </c>
      <c r="C45" s="743">
        <f ca="1">IF(AUTOEVENTO="Manual",IF($B45&lt;&gt;1,OFFSET(EVENTOS!$D$14,$B45,0),0),IF(B45&lt;=MAX(CÁLCULO!$M$15:$M$266),VLOOKUP($B45,CÁLCULO!$M$15:$N$266,2,FALSE),0))</f>
        <v>0</v>
      </c>
      <c r="D45" s="743"/>
      <c r="F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6">
        <f t="shared" ca="1" si="1"/>
        <v>32</v>
      </c>
      <c r="C46" s="743">
        <f ca="1">IF(AUTOEVENTO="Manual",IF($B46&lt;&gt;1,OFFSET(EVENTOS!$D$14,$B46,0),0),IF(B46&lt;=MAX(CÁLCULO!$M$15:$M$266),VLOOKUP($B46,CÁLCULO!$M$15:$N$266,2,FALSE),0))</f>
        <v>0</v>
      </c>
      <c r="D46" s="743"/>
      <c r="F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6">
        <f t="shared" ca="1" si="1"/>
        <v>33</v>
      </c>
      <c r="C47" s="743">
        <f ca="1">IF(AUTOEVENTO="Manual",IF($B47&lt;&gt;1,OFFSET(EVENTOS!$D$14,$B47,0),0),IF(B47&lt;=MAX(CÁLCULO!$M$15:$M$266),VLOOKUP($B47,CÁLCULO!$M$15:$N$266,2,FALSE),0))</f>
        <v>0</v>
      </c>
      <c r="D47" s="743"/>
      <c r="F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6">
        <f t="shared" ca="1" si="1"/>
        <v>34</v>
      </c>
      <c r="C48" s="743">
        <f ca="1">IF(AUTOEVENTO="Manual",IF($B48&lt;&gt;1,OFFSET(EVENTOS!$D$14,$B48,0),0),IF(B48&lt;=MAX(CÁLCULO!$M$15:$M$266),VLOOKUP($B48,CÁLCULO!$M$15:$N$266,2,FALSE),0))</f>
        <v>0</v>
      </c>
      <c r="D48" s="743"/>
      <c r="F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6">
        <f t="shared" ca="1" si="1"/>
        <v>35</v>
      </c>
      <c r="C49" s="743">
        <f ca="1">IF(AUTOEVENTO="Manual",IF($B49&lt;&gt;1,OFFSET(EVENTOS!$D$14,$B49,0),0),IF(B49&lt;=MAX(CÁLCULO!$M$15:$M$266),VLOOKUP($B49,CÁLCULO!$M$15:$N$266,2,FALSE),0))</f>
        <v>0</v>
      </c>
      <c r="D49" s="743"/>
      <c r="F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6">
        <f t="shared" ca="1" si="1"/>
        <v>36</v>
      </c>
      <c r="C50" s="743">
        <f ca="1">IF(AUTOEVENTO="Manual",IF($B50&lt;&gt;1,OFFSET(EVENTOS!$D$14,$B50,0),0),IF(B50&lt;=MAX(CÁLCULO!$M$15:$M$266),VLOOKUP($B50,CÁLCULO!$M$15:$N$266,2,FALSE),0))</f>
        <v>0</v>
      </c>
      <c r="D50" s="743"/>
      <c r="F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6">
        <f t="shared" ca="1" si="1"/>
        <v>37</v>
      </c>
      <c r="C51" s="743">
        <f ca="1">IF(AUTOEVENTO="Manual",IF($B51&lt;&gt;1,OFFSET(EVENTOS!$D$14,$B51,0),0),IF(B51&lt;=MAX(CÁLCULO!$M$15:$M$266),VLOOKUP($B51,CÁLCULO!$M$15:$N$266,2,FALSE),0))</f>
        <v>0</v>
      </c>
      <c r="D51" s="743"/>
      <c r="F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6">
        <f t="shared" ca="1" si="1"/>
        <v>38</v>
      </c>
      <c r="C52" s="743">
        <f ca="1">IF(AUTOEVENTO="Manual",IF($B52&lt;&gt;1,OFFSET(EVENTOS!$D$14,$B52,0),0),IF(B52&lt;=MAX(CÁLCULO!$M$15:$M$266),VLOOKUP($B52,CÁLCULO!$M$15:$N$266,2,FALSE),0))</f>
        <v>0</v>
      </c>
      <c r="D52" s="743"/>
      <c r="F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6">
        <f t="shared" ca="1" si="1"/>
        <v>39</v>
      </c>
      <c r="C53" s="743">
        <f ca="1">IF(AUTOEVENTO="Manual",IF($B53&lt;&gt;1,OFFSET(EVENTOS!$D$14,$B53,0),0),IF(B53&lt;=MAX(CÁLCULO!$M$15:$M$266),VLOOKUP($B53,CÁLCULO!$M$15:$N$266,2,FALSE),0))</f>
        <v>0</v>
      </c>
      <c r="D53" s="743"/>
      <c r="F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6">
        <f t="shared" ca="1" si="1"/>
        <v>40</v>
      </c>
      <c r="C54" s="743">
        <f ca="1">IF(AUTOEVENTO="Manual",IF($B54&lt;&gt;1,OFFSET(EVENTOS!$D$14,$B54,0),0),IF(B54&lt;=MAX(CÁLCULO!$M$15:$M$266),VLOOKUP($B54,CÁLCULO!$M$15:$N$266,2,FALSE),0))</f>
        <v>0</v>
      </c>
      <c r="D54" s="743"/>
      <c r="F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6">
        <f t="shared" ca="1" si="1"/>
        <v>41</v>
      </c>
      <c r="C55" s="743">
        <f ca="1">IF(AUTOEVENTO="Manual",IF($B55&lt;&gt;1,OFFSET(EVENTOS!$D$14,$B55,0),0),IF(B55&lt;=MAX(CÁLCULO!$M$15:$M$266),VLOOKUP($B55,CÁLCULO!$M$15:$N$266,2,FALSE),0))</f>
        <v>0</v>
      </c>
      <c r="D55" s="743"/>
      <c r="F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6">
        <f t="shared" ca="1" si="1"/>
        <v>42</v>
      </c>
      <c r="C56" s="743">
        <f ca="1">IF(AUTOEVENTO="Manual",IF($B56&lt;&gt;1,OFFSET(EVENTOS!$D$14,$B56,0),0),IF(B56&lt;=MAX(CÁLCULO!$M$15:$M$266),VLOOKUP($B56,CÁLCULO!$M$15:$N$266,2,FALSE),0))</f>
        <v>0</v>
      </c>
      <c r="D56" s="743"/>
      <c r="F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6">
        <f t="shared" ca="1" si="1"/>
        <v>43</v>
      </c>
      <c r="C57" s="743">
        <f ca="1">IF(AUTOEVENTO="Manual",IF($B57&lt;&gt;1,OFFSET(EVENTOS!$D$14,$B57,0),0),IF(B57&lt;=MAX(CÁLCULO!$M$15:$M$266),VLOOKUP($B57,CÁLCULO!$M$15:$N$266,2,FALSE),0))</f>
        <v>0</v>
      </c>
      <c r="D57" s="743"/>
      <c r="F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6">
        <f t="shared" ca="1" si="1"/>
        <v>44</v>
      </c>
      <c r="C58" s="743">
        <f ca="1">IF(AUTOEVENTO="Manual",IF($B58&lt;&gt;1,OFFSET(EVENTOS!$D$14,$B58,0),0),IF(B58&lt;=MAX(CÁLCULO!$M$15:$M$266),VLOOKUP($B58,CÁLCULO!$M$15:$N$266,2,FALSE),0))</f>
        <v>0</v>
      </c>
      <c r="D58" s="743"/>
      <c r="F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6">
        <f t="shared" ca="1" si="1"/>
        <v>45</v>
      </c>
      <c r="C59" s="743">
        <f ca="1">IF(AUTOEVENTO="Manual",IF($B59&lt;&gt;1,OFFSET(EVENTOS!$D$14,$B59,0),0),IF(B59&lt;=MAX(CÁLCULO!$M$15:$M$266),VLOOKUP($B59,CÁLCULO!$M$15:$N$266,2,FALSE),0))</f>
        <v>0</v>
      </c>
      <c r="D59" s="743"/>
      <c r="F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6">
        <f t="shared" ca="1" si="1"/>
        <v>46</v>
      </c>
      <c r="C60" s="743">
        <f ca="1">IF(AUTOEVENTO="Manual",IF($B60&lt;&gt;1,OFFSET(EVENTOS!$D$14,$B60,0),0),IF(B60&lt;=MAX(CÁLCULO!$M$15:$M$266),VLOOKUP($B60,CÁLCULO!$M$15:$N$266,2,FALSE),0))</f>
        <v>0</v>
      </c>
      <c r="D60" s="743"/>
      <c r="F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6">
        <f t="shared" ca="1" si="1"/>
        <v>47</v>
      </c>
      <c r="C61" s="743">
        <f ca="1">IF(AUTOEVENTO="Manual",IF($B61&lt;&gt;1,OFFSET(EVENTOS!$D$14,$B61,0),0),IF(B61&lt;=MAX(CÁLCULO!$M$15:$M$266),VLOOKUP($B61,CÁLCULO!$M$15:$N$266,2,FALSE),0))</f>
        <v>0</v>
      </c>
      <c r="D61" s="743"/>
      <c r="F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6">
        <f t="shared" ca="1" si="1"/>
        <v>48</v>
      </c>
      <c r="C62" s="743">
        <f ca="1">IF(AUTOEVENTO="Manual",IF($B62&lt;&gt;1,OFFSET(EVENTOS!$D$14,$B62,0),0),IF(B62&lt;=MAX(CÁLCULO!$M$15:$M$266),VLOOKUP($B62,CÁLCULO!$M$15:$N$266,2,FALSE),0))</f>
        <v>0</v>
      </c>
      <c r="D62" s="743"/>
      <c r="F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6">
        <f t="shared" ca="1" si="1"/>
        <v>49</v>
      </c>
      <c r="C63" s="743">
        <f ca="1">IF(AUTOEVENTO="Manual",IF($B63&lt;&gt;1,OFFSET(EVENTOS!$D$14,$B63,0),0),IF(B63&lt;=MAX(CÁLCULO!$M$15:$M$266),VLOOKUP($B63,CÁLCULO!$M$15:$N$266,2,FALSE),0))</f>
        <v>0</v>
      </c>
      <c r="D63" s="743"/>
      <c r="F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6">
        <f t="shared" ca="1" si="1"/>
        <v>50</v>
      </c>
      <c r="C64" s="743">
        <f ca="1">IF(AUTOEVENTO="Manual",IF($B64&lt;&gt;1,OFFSET(EVENTOS!$D$14,$B64,0),0),IF(B64&lt;=MAX(CÁLCULO!$M$15:$M$266),VLOOKUP($B64,CÁLCULO!$M$15:$N$266,2,FALSE),0))</f>
        <v>0</v>
      </c>
      <c r="D64" s="743"/>
      <c r="F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</row>
    <row r="65" spans="1:32" ht="4.5" customHeight="1" x14ac:dyDescent="0.2">
      <c r="A65" s="9" t="s">
        <v>245</v>
      </c>
      <c r="B65" s="533"/>
      <c r="C65" s="564"/>
      <c r="D65" s="565"/>
      <c r="F65" s="349"/>
      <c r="H65" s="533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5"/>
    </row>
    <row r="66" spans="1:32" x14ac:dyDescent="0.2">
      <c r="A66" s="9" t="s">
        <v>245</v>
      </c>
    </row>
    <row r="67" spans="1:32" x14ac:dyDescent="0.2">
      <c r="A67" s="9" t="s">
        <v>245</v>
      </c>
      <c r="I67" s="744" t="s">
        <v>297</v>
      </c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744"/>
      <c r="AB67" s="744"/>
      <c r="AC67" s="744"/>
      <c r="AD67" s="744"/>
      <c r="AE67" s="744"/>
      <c r="AF67" s="744"/>
    </row>
    <row r="68" spans="1:32" x14ac:dyDescent="0.2">
      <c r="A68" s="9" t="s">
        <v>245</v>
      </c>
      <c r="H68" s="581"/>
      <c r="I68" s="731"/>
      <c r="J68" s="732"/>
      <c r="K68" s="732"/>
      <c r="L68" s="732"/>
      <c r="M68" s="732"/>
      <c r="N68" s="732"/>
      <c r="O68" s="732"/>
      <c r="P68" s="732"/>
      <c r="Q68" s="732"/>
      <c r="R68" s="732"/>
      <c r="S68" s="732"/>
      <c r="T68" s="732"/>
      <c r="U68" s="732"/>
      <c r="V68" s="732"/>
      <c r="W68" s="732"/>
      <c r="X68" s="732"/>
      <c r="Y68" s="732"/>
      <c r="Z68" s="732"/>
      <c r="AA68" s="732"/>
      <c r="AB68" s="732"/>
      <c r="AC68" s="732"/>
      <c r="AD68" s="732"/>
      <c r="AE68" s="732"/>
      <c r="AF68" s="742"/>
    </row>
    <row r="69" spans="1:32" x14ac:dyDescent="0.2">
      <c r="A69" s="9" t="s">
        <v>245</v>
      </c>
      <c r="D69" s="350" t="s">
        <v>298</v>
      </c>
      <c r="I69" s="729">
        <f>IF(PLE.Medicao&lt;=12,1,TRUNC((PLE.Medicao - 2)/11,0) * 11 + 1)</f>
        <v>1</v>
      </c>
      <c r="J69" s="729"/>
      <c r="K69" s="729">
        <f>I69+1</f>
        <v>2</v>
      </c>
      <c r="L69" s="729"/>
      <c r="M69" s="729">
        <f>K69+1</f>
        <v>3</v>
      </c>
      <c r="N69" s="729"/>
      <c r="O69" s="729">
        <f>M69+1</f>
        <v>4</v>
      </c>
      <c r="P69" s="729"/>
      <c r="Q69" s="729">
        <f>O69+1</f>
        <v>5</v>
      </c>
      <c r="R69" s="729"/>
      <c r="S69" s="729">
        <f>Q69+1</f>
        <v>6</v>
      </c>
      <c r="T69" s="729"/>
      <c r="U69" s="729">
        <f>S69+1</f>
        <v>7</v>
      </c>
      <c r="V69" s="729"/>
      <c r="W69" s="729">
        <f>U69+1</f>
        <v>8</v>
      </c>
      <c r="X69" s="729"/>
      <c r="Y69" s="729">
        <f>W69+1</f>
        <v>9</v>
      </c>
      <c r="Z69" s="729"/>
      <c r="AA69" s="729">
        <f>Y69+1</f>
        <v>10</v>
      </c>
      <c r="AB69" s="729"/>
      <c r="AC69" s="729">
        <f>AA69+1</f>
        <v>11</v>
      </c>
      <c r="AD69" s="729"/>
      <c r="AE69" s="729">
        <f>AC69+1</f>
        <v>12</v>
      </c>
      <c r="AF69" s="729"/>
    </row>
    <row r="70" spans="1:32" x14ac:dyDescent="0.2">
      <c r="A70" s="9" t="s">
        <v>245</v>
      </c>
      <c r="D70" s="739" t="s">
        <v>282</v>
      </c>
      <c r="H70" s="351" t="s">
        <v>299</v>
      </c>
      <c r="I70" s="730">
        <f ca="1">ROUND(I71,2)/ORÇAMENTO!$X$15</f>
        <v>2.5314830248512537E-2</v>
      </c>
      <c r="J70" s="730"/>
      <c r="K70" s="735">
        <f ca="1">ROUND(K71,2)/ORÇAMENTO!$X$15</f>
        <v>0</v>
      </c>
      <c r="L70" s="735"/>
      <c r="M70" s="736">
        <f ca="1">ROUND(M71,2)/ORÇAMENTO!$X$15</f>
        <v>0</v>
      </c>
      <c r="N70" s="736"/>
      <c r="O70" s="735">
        <f ca="1">ROUND(O71,2)/ORÇAMENTO!$X$15</f>
        <v>0</v>
      </c>
      <c r="P70" s="735"/>
      <c r="Q70" s="736">
        <f ca="1">ROUND(Q71,2)/ORÇAMENTO!$X$15</f>
        <v>0</v>
      </c>
      <c r="R70" s="736"/>
      <c r="S70" s="735">
        <f ca="1">ROUND(S71,2)/ORÇAMENTO!$X$15</f>
        <v>0</v>
      </c>
      <c r="T70" s="735"/>
      <c r="U70" s="736">
        <f ca="1">ROUND(U71,2)/ORÇAMENTO!$X$15</f>
        <v>0</v>
      </c>
      <c r="V70" s="736"/>
      <c r="W70" s="735">
        <f ca="1">ROUND(W71,2)/ORÇAMENTO!$X$15</f>
        <v>0</v>
      </c>
      <c r="X70" s="735"/>
      <c r="Y70" s="736">
        <f ca="1">ROUND(Y71,2)/ORÇAMENTO!$X$15</f>
        <v>0</v>
      </c>
      <c r="Z70" s="736"/>
      <c r="AA70" s="735">
        <f ca="1">ROUND(AA71,2)/ORÇAMENTO!$X$15</f>
        <v>0</v>
      </c>
      <c r="AB70" s="735"/>
      <c r="AC70" s="736">
        <f ca="1">ROUND(AC71,2)/ORÇAMENTO!$X$15</f>
        <v>0</v>
      </c>
      <c r="AD70" s="736"/>
      <c r="AE70" s="735">
        <f ca="1">ROUND(AE71,2)/ORÇAMENTO!$X$15</f>
        <v>0</v>
      </c>
      <c r="AF70" s="735"/>
    </row>
    <row r="71" spans="1:32" x14ac:dyDescent="0.2">
      <c r="A71" s="9" t="s">
        <v>245</v>
      </c>
      <c r="D71" s="739"/>
      <c r="H71" s="352" t="s">
        <v>300</v>
      </c>
      <c r="I71" s="734">
        <f ca="1">IF(I69=1,I73,ROUND(I73,2)-ROUND(SUMIF(CÁLCULO!$AX$15:$BH$266,"&lt;="&amp;PLE!I69-1,CÁLCULO!$AB$15:$AL$266)*(1+CÁLCULO.TotalAdmLocal/(ORÇAMENTO!$X$15-CÁLCULO.TotalAdmLocal)),2))</f>
        <v>4869.3636024844718</v>
      </c>
      <c r="J71" s="734"/>
      <c r="K71" s="734">
        <f ca="1">ROUND(K73,2)-ROUND(I73,2)</f>
        <v>0</v>
      </c>
      <c r="L71" s="734"/>
      <c r="M71" s="733">
        <f ca="1">ROUND(M73,2)-ROUND(K73,2)</f>
        <v>0</v>
      </c>
      <c r="N71" s="733"/>
      <c r="O71" s="734">
        <f ca="1">ROUND(O73,2)-ROUND(M73,2)</f>
        <v>0</v>
      </c>
      <c r="P71" s="734"/>
      <c r="Q71" s="733">
        <f ca="1">ROUND(Q73,2)-ROUND(O73,2)</f>
        <v>0</v>
      </c>
      <c r="R71" s="733"/>
      <c r="S71" s="734">
        <f ca="1">ROUND(S73,2)-ROUND(Q73,2)</f>
        <v>0</v>
      </c>
      <c r="T71" s="734"/>
      <c r="U71" s="733">
        <f ca="1">ROUND(U73,2)-ROUND(S73,2)</f>
        <v>0</v>
      </c>
      <c r="V71" s="733"/>
      <c r="W71" s="734">
        <f ca="1">ROUND(W73,2)-ROUND(U73,2)</f>
        <v>0</v>
      </c>
      <c r="X71" s="734"/>
      <c r="Y71" s="733">
        <f ca="1">ROUND(Y73,2)-ROUND(W73,2)</f>
        <v>0</v>
      </c>
      <c r="Z71" s="733"/>
      <c r="AA71" s="734">
        <f ca="1">ROUND(AA73,2)-ROUND(Y73,2)</f>
        <v>0</v>
      </c>
      <c r="AB71" s="734"/>
      <c r="AC71" s="733">
        <f ca="1">ROUND(AC73,2)-ROUND(AA73,2)</f>
        <v>0</v>
      </c>
      <c r="AD71" s="733"/>
      <c r="AE71" s="734">
        <f ca="1">ROUND(AE73,2)-ROUND(AC73,2)</f>
        <v>0</v>
      </c>
      <c r="AF71" s="734"/>
    </row>
    <row r="72" spans="1:32" x14ac:dyDescent="0.2">
      <c r="A72" s="9" t="s">
        <v>245</v>
      </c>
      <c r="D72" s="739" t="s">
        <v>286</v>
      </c>
      <c r="H72" s="351" t="s">
        <v>299</v>
      </c>
      <c r="I72" s="740">
        <f ca="1">ROUND(I73,2)/ORÇAMENTO!$X$15</f>
        <v>2.5314830248512537E-2</v>
      </c>
      <c r="J72" s="740"/>
      <c r="K72" s="737">
        <f ca="1">ROUND(K73,2)/ORÇAMENTO!$X$15</f>
        <v>2.5314830248512537E-2</v>
      </c>
      <c r="L72" s="737"/>
      <c r="M72" s="738">
        <f ca="1">ROUND(M73,2)/ORÇAMENTO!$X$15</f>
        <v>2.5314830248512537E-2</v>
      </c>
      <c r="N72" s="738"/>
      <c r="O72" s="737">
        <f ca="1">ROUND(O73,2)/ORÇAMENTO!$X$15</f>
        <v>2.5314830248512537E-2</v>
      </c>
      <c r="P72" s="737"/>
      <c r="Q72" s="738">
        <f ca="1">ROUND(Q73,2)/ORÇAMENTO!$X$15</f>
        <v>2.5314830248512537E-2</v>
      </c>
      <c r="R72" s="738"/>
      <c r="S72" s="737">
        <f ca="1">ROUND(S73,2)/ORÇAMENTO!$X$15</f>
        <v>2.5314830248512537E-2</v>
      </c>
      <c r="T72" s="737"/>
      <c r="U72" s="738">
        <f ca="1">ROUND(U73,2)/ORÇAMENTO!$X$15</f>
        <v>2.5314830248512537E-2</v>
      </c>
      <c r="V72" s="738"/>
      <c r="W72" s="737">
        <f ca="1">ROUND(W73,2)/ORÇAMENTO!$X$15</f>
        <v>2.5314830248512537E-2</v>
      </c>
      <c r="X72" s="737"/>
      <c r="Y72" s="738">
        <f ca="1">ROUND(Y73,2)/ORÇAMENTO!$X$15</f>
        <v>2.5314830248512537E-2</v>
      </c>
      <c r="Z72" s="738"/>
      <c r="AA72" s="737">
        <f ca="1">ROUND(AA73,2)/ORÇAMENTO!$X$15</f>
        <v>2.5314830248512537E-2</v>
      </c>
      <c r="AB72" s="737"/>
      <c r="AC72" s="738">
        <f ca="1">ROUND(AC73,2)/ORÇAMENTO!$X$15</f>
        <v>2.5314830248512537E-2</v>
      </c>
      <c r="AD72" s="738"/>
      <c r="AE72" s="737">
        <f ca="1">ROUND(AE73,2)/ORÇAMENTO!$X$15</f>
        <v>2.5314830248512537E-2</v>
      </c>
      <c r="AF72" s="737"/>
    </row>
    <row r="73" spans="1:32" x14ac:dyDescent="0.2">
      <c r="A73" s="9" t="s">
        <v>245</v>
      </c>
      <c r="D73" s="739"/>
      <c r="H73" s="352" t="s">
        <v>300</v>
      </c>
      <c r="I73" s="741">
        <f ca="1">SUMIF(CÁLCULO!$AX$15:$BH$266,"&lt;="&amp;PLE!I69,CÁLCULO!$AB$15:$AL$266)*(1+CÁLCULO.TotalAdmLocal/(ORÇAMENTO!$X$15-CÁLCULO.TotalAdmLocal))</f>
        <v>4869.3636024844718</v>
      </c>
      <c r="J73" s="741"/>
      <c r="K73" s="734">
        <f ca="1">SUMIF(CÁLCULO!$AX$15:$BH$266,"&lt;="&amp;PLE!K69,CÁLCULO!$AB$15:$AL$266)*(1+CÁLCULO.TotalAdmLocal/(ORÇAMENTO!$X$15-CÁLCULO.TotalAdmLocal))</f>
        <v>4869.3636024844718</v>
      </c>
      <c r="L73" s="734"/>
      <c r="M73" s="733">
        <f ca="1">SUMIF(CÁLCULO!$AX$15:$BH$266,"&lt;="&amp;PLE!M69,CÁLCULO!$AB$15:$AL$266)*(1+CÁLCULO.TotalAdmLocal/(ORÇAMENTO!$X$15-CÁLCULO.TotalAdmLocal))</f>
        <v>4869.3636024844718</v>
      </c>
      <c r="N73" s="733"/>
      <c r="O73" s="734">
        <f ca="1">SUMIF(CÁLCULO!$AX$15:$BH$266,"&lt;="&amp;PLE!O69,CÁLCULO!$AB$15:$AL$266)*(1+CÁLCULO.TotalAdmLocal/(ORÇAMENTO!$X$15-CÁLCULO.TotalAdmLocal))</f>
        <v>4869.3636024844718</v>
      </c>
      <c r="P73" s="734"/>
      <c r="Q73" s="733">
        <f ca="1">SUMIF(CÁLCULO!$AX$15:$BH$266,"&lt;="&amp;PLE!Q69,CÁLCULO!$AB$15:$AL$266)*(1+CÁLCULO.TotalAdmLocal/(ORÇAMENTO!$X$15-CÁLCULO.TotalAdmLocal))</f>
        <v>4869.3636024844718</v>
      </c>
      <c r="R73" s="733"/>
      <c r="S73" s="734">
        <f ca="1">SUMIF(CÁLCULO!$AX$15:$BH$266,"&lt;="&amp;PLE!S69,CÁLCULO!$AB$15:$AL$266)*(1+CÁLCULO.TotalAdmLocal/(ORÇAMENTO!$X$15-CÁLCULO.TotalAdmLocal))</f>
        <v>4869.3636024844718</v>
      </c>
      <c r="T73" s="734"/>
      <c r="U73" s="733">
        <f ca="1">SUMIF(CÁLCULO!$AX$15:$BH$266,"&lt;="&amp;PLE!U69,CÁLCULO!$AB$15:$AL$266)*(1+CÁLCULO.TotalAdmLocal/(ORÇAMENTO!$X$15-CÁLCULO.TotalAdmLocal))</f>
        <v>4869.3636024844718</v>
      </c>
      <c r="V73" s="733"/>
      <c r="W73" s="734">
        <f ca="1">SUMIF(CÁLCULO!$AX$15:$BH$266,"&lt;="&amp;PLE!W69,CÁLCULO!$AB$15:$AL$266)*(1+CÁLCULO.TotalAdmLocal/(ORÇAMENTO!$X$15-CÁLCULO.TotalAdmLocal))</f>
        <v>4869.3636024844718</v>
      </c>
      <c r="X73" s="734"/>
      <c r="Y73" s="733">
        <f ca="1">SUMIF(CÁLCULO!$AX$15:$BH$266,"&lt;="&amp;PLE!Y69,CÁLCULO!$AB$15:$AL$266)*(1+CÁLCULO.TotalAdmLocal/(ORÇAMENTO!$X$15-CÁLCULO.TotalAdmLocal))</f>
        <v>4869.3636024844718</v>
      </c>
      <c r="Z73" s="733"/>
      <c r="AA73" s="734">
        <f ca="1">SUMIF(CÁLCULO!$AX$15:$BH$266,"&lt;="&amp;PLE!AA69,CÁLCULO!$AB$15:$AL$266)*(1+CÁLCULO.TotalAdmLocal/(ORÇAMENTO!$X$15-CÁLCULO.TotalAdmLocal))</f>
        <v>4869.3636024844718</v>
      </c>
      <c r="AB73" s="734"/>
      <c r="AC73" s="733">
        <f ca="1">SUMIF(CÁLCULO!$AX$15:$BH$266,"&lt;="&amp;PLE!AC69,CÁLCULO!$AB$15:$AL$266)*(1+CÁLCULO.TotalAdmLocal/(ORÇAMENTO!$X$15-CÁLCULO.TotalAdmLocal))</f>
        <v>4869.3636024844718</v>
      </c>
      <c r="AD73" s="733"/>
      <c r="AE73" s="734">
        <f ca="1">SUMIF(CÁLCULO!$AX$15:$BH$266,"&lt;="&amp;PLE!AE69,CÁLCULO!$AB$15:$AL$266)*(1+CÁLCULO.TotalAdmLocal/(ORÇAMENTO!$X$15-CÁLCULO.TotalAdmLocal))</f>
        <v>4869.3636024844718</v>
      </c>
      <c r="AF73" s="734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6" t="str">
        <f>Import.Município</f>
        <v>CÉU AZUL/PR</v>
      </c>
      <c r="C75" s="706"/>
      <c r="D75" s="706"/>
      <c r="E75" s="104"/>
      <c r="K75" s="104"/>
      <c r="U75" s="175"/>
      <c r="V75" s="175"/>
      <c r="W75" s="175"/>
      <c r="X75" s="175"/>
      <c r="Y75" s="228"/>
      <c r="Z75" s="228"/>
      <c r="AA75" s="228"/>
      <c r="AB75" s="228"/>
      <c r="AC75" s="228"/>
      <c r="AD75" s="228"/>
    </row>
    <row r="76" spans="1:32" x14ac:dyDescent="0.2">
      <c r="A76" s="9" t="s">
        <v>245</v>
      </c>
      <c r="B76" s="12" t="s">
        <v>187</v>
      </c>
      <c r="C76" s="104"/>
      <c r="D76" s="104"/>
      <c r="E76" s="104"/>
      <c r="K76" s="104"/>
      <c r="U76" s="229" t="s">
        <v>301</v>
      </c>
      <c r="V76" s="104"/>
      <c r="W76" s="104"/>
      <c r="X76" s="104"/>
    </row>
    <row r="77" spans="1:32" x14ac:dyDescent="0.2">
      <c r="A77" s="9" t="s">
        <v>245</v>
      </c>
      <c r="B77" s="104"/>
      <c r="C77" s="104"/>
      <c r="D77" s="104"/>
      <c r="E77" s="104"/>
      <c r="I77" s="96"/>
      <c r="K77" s="104"/>
      <c r="U77" s="94" t="s">
        <v>107</v>
      </c>
      <c r="W77" s="353">
        <f t="array" ref="W77:W80">Import.RespFiscalização</f>
        <v>0</v>
      </c>
      <c r="X77" s="104"/>
    </row>
    <row r="78" spans="1:32" x14ac:dyDescent="0.2">
      <c r="A78" s="9" t="s">
        <v>245</v>
      </c>
      <c r="B78" s="701">
        <f ca="1">DADOS!$F$47</f>
        <v>45208</v>
      </c>
      <c r="C78" s="701"/>
      <c r="D78" s="701"/>
      <c r="E78" s="104"/>
      <c r="I78" s="96"/>
      <c r="K78" s="104"/>
      <c r="U78" s="94" t="s">
        <v>126</v>
      </c>
      <c r="W78" s="353">
        <v>0</v>
      </c>
      <c r="X78" s="104"/>
    </row>
    <row r="79" spans="1:32" x14ac:dyDescent="0.2">
      <c r="A79" s="9" t="s">
        <v>245</v>
      </c>
      <c r="B79" s="177" t="s">
        <v>188</v>
      </c>
      <c r="C79" s="178"/>
      <c r="D79" s="178"/>
      <c r="E79" s="104"/>
      <c r="I79" s="96"/>
      <c r="K79" s="104"/>
      <c r="U79" s="94" t="s">
        <v>108</v>
      </c>
      <c r="W79" s="353">
        <v>0</v>
      </c>
      <c r="X79" s="104"/>
    </row>
    <row r="80" spans="1:32" x14ac:dyDescent="0.2">
      <c r="U80" s="94" t="s">
        <v>109</v>
      </c>
      <c r="W80" s="354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5" t="s">
        <v>302</v>
      </c>
      <c r="I1" s="10"/>
      <c r="J1" s="10"/>
    </row>
    <row r="2" spans="1:31" x14ac:dyDescent="0.2">
      <c r="Z2" s="127" t="s">
        <v>303</v>
      </c>
      <c r="AA2" s="356" t="s">
        <v>304</v>
      </c>
      <c r="AB2" s="94"/>
    </row>
    <row r="3" spans="1:31" x14ac:dyDescent="0.2">
      <c r="D3" s="684" t="s">
        <v>438</v>
      </c>
      <c r="E3" s="684"/>
      <c r="F3" s="111" t="s">
        <v>439</v>
      </c>
      <c r="G3" s="684" t="s">
        <v>146</v>
      </c>
      <c r="H3" s="684"/>
      <c r="I3" s="684"/>
      <c r="J3" s="757" t="s">
        <v>305</v>
      </c>
      <c r="K3" s="757"/>
      <c r="L3" s="757"/>
      <c r="M3" s="758" t="s">
        <v>306</v>
      </c>
      <c r="N3" s="758"/>
      <c r="O3" s="758"/>
      <c r="Z3" s="131">
        <f ca="1">MAX(Z7:AB7)</f>
        <v>1</v>
      </c>
      <c r="AA3" s="357">
        <f ca="1">IF(OR($O$24=ORÇAMENTO.SumINVMANUAL+QCI.SumINVMANUAL,$O$24=0),0,MIN(MAX(0,($Z$3*$O$24-ORÇAMENTO.SumCPMANUAL-QCI.SumCPMANUAL)/($O$24-ORÇAMENTO.SumINVMANUAL-QCI.SumINVMANUAL)),1))</f>
        <v>1</v>
      </c>
      <c r="AB3" s="119"/>
    </row>
    <row r="4" spans="1:31" x14ac:dyDescent="0.2">
      <c r="D4" s="687">
        <f>Import.CR</f>
        <v>0</v>
      </c>
      <c r="E4" s="687"/>
      <c r="F4" s="72">
        <f>Import.SICONV</f>
        <v>0</v>
      </c>
      <c r="G4" s="687" t="str">
        <f>Import.Proponente</f>
        <v>MUNICIPIO DE CÉU AZUL</v>
      </c>
      <c r="H4" s="687"/>
      <c r="I4" s="687"/>
      <c r="J4" s="759" t="str">
        <f>Import.Município</f>
        <v>CÉU AZUL/PR</v>
      </c>
      <c r="K4" s="759"/>
      <c r="L4" s="759"/>
      <c r="M4" s="758"/>
      <c r="N4" s="758"/>
      <c r="O4" s="758"/>
      <c r="R4" s="166"/>
      <c r="Z4" s="119"/>
      <c r="AA4" s="119"/>
      <c r="AB4" s="119"/>
    </row>
    <row r="5" spans="1:31" ht="5.0999999999999996" customHeight="1" x14ac:dyDescent="0.2">
      <c r="M5" s="345"/>
      <c r="N5" s="100"/>
      <c r="O5" s="59"/>
      <c r="Z5" s="127"/>
      <c r="AA5" s="16"/>
      <c r="AB5" s="127"/>
    </row>
    <row r="6" spans="1:31" x14ac:dyDescent="0.2">
      <c r="D6" s="684" t="s">
        <v>201</v>
      </c>
      <c r="E6" s="684"/>
      <c r="F6" s="684"/>
      <c r="G6" s="684"/>
      <c r="H6" s="684"/>
      <c r="I6" s="684"/>
      <c r="J6" s="684"/>
      <c r="K6" s="684"/>
      <c r="L6" s="358" t="s">
        <v>209</v>
      </c>
      <c r="M6" s="111" t="str">
        <f>IF(import.recurso="FGTS","FINANCIAMENTO","REPASSE")</f>
        <v>REPASSE</v>
      </c>
      <c r="N6" s="111" t="s">
        <v>307</v>
      </c>
      <c r="O6" s="111" t="s">
        <v>308</v>
      </c>
      <c r="Z6" s="127" t="s">
        <v>309</v>
      </c>
      <c r="AA6" s="16" t="s">
        <v>310</v>
      </c>
      <c r="AB6" s="127" t="s">
        <v>311</v>
      </c>
    </row>
    <row r="7" spans="1:31" ht="12.75" customHeight="1" x14ac:dyDescent="0.2">
      <c r="C7" s="677" t="s">
        <v>208</v>
      </c>
      <c r="D7" s="687" t="str">
        <f>Import.Apelido</f>
        <v>PAÇO MUNICIPAL</v>
      </c>
      <c r="E7" s="687"/>
      <c r="F7" s="687"/>
      <c r="G7" s="687"/>
      <c r="H7" s="687"/>
      <c r="I7" s="687"/>
      <c r="J7" s="687"/>
      <c r="K7" s="687"/>
      <c r="L7" s="359" t="str">
        <f>import.recurso</f>
        <v>(SELECIONAR)</v>
      </c>
      <c r="M7" s="360">
        <f>Import.Repasse</f>
        <v>0</v>
      </c>
      <c r="N7" s="360">
        <f>Import.Contrapartida</f>
        <v>0</v>
      </c>
      <c r="O7" s="360">
        <f>M7+N7</f>
        <v>0</v>
      </c>
      <c r="Z7" s="131">
        <f>ROUND(Import.CPMinPerc,4)</f>
        <v>0</v>
      </c>
      <c r="AA7" s="131">
        <f ca="1">IF($O$24=0,0,Import.CPMinAbsoluta/$O$24)</f>
        <v>0</v>
      </c>
      <c r="AB7" s="131">
        <f ca="1">IF($O$24=0,0,($O$24-$AB$24-Import.Repasse)/($O$24))</f>
        <v>1</v>
      </c>
    </row>
    <row r="8" spans="1:31" x14ac:dyDescent="0.2">
      <c r="C8" s="677"/>
      <c r="D8" s="119"/>
      <c r="E8" s="119"/>
      <c r="F8" s="361"/>
      <c r="G8" s="119"/>
      <c r="H8" s="119"/>
      <c r="I8" s="119"/>
      <c r="J8" s="119"/>
      <c r="K8" s="119"/>
      <c r="L8" s="119"/>
      <c r="M8" s="119"/>
      <c r="N8" s="119"/>
      <c r="O8" s="119"/>
    </row>
    <row r="9" spans="1:31" ht="12.75" customHeight="1" x14ac:dyDescent="0.2">
      <c r="C9" s="677"/>
      <c r="E9" s="16"/>
      <c r="G9" s="755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5"/>
      <c r="I9" s="755"/>
      <c r="J9" s="755"/>
      <c r="K9" s="756" t="s">
        <v>312</v>
      </c>
      <c r="L9" s="362" t="str">
        <f>$L$13</f>
        <v>Repasse (R$)</v>
      </c>
      <c r="M9" s="362" t="s">
        <v>237</v>
      </c>
      <c r="AD9" s="753"/>
      <c r="AE9" s="753"/>
    </row>
    <row r="10" spans="1:31" ht="12.75" customHeight="1" x14ac:dyDescent="0.2">
      <c r="A10" s="752" t="s">
        <v>313</v>
      </c>
      <c r="C10" s="677"/>
      <c r="G10" s="755"/>
      <c r="H10" s="755"/>
      <c r="I10" s="755"/>
      <c r="J10" s="755"/>
      <c r="K10" s="756"/>
      <c r="L10" s="363">
        <f ca="1">Import.Repasse-L24</f>
        <v>0</v>
      </c>
      <c r="M10" s="364">
        <f ca="1">Import.Contrapartida-M24</f>
        <v>-192352.07</v>
      </c>
      <c r="Z10" s="697" t="s">
        <v>215</v>
      </c>
      <c r="AA10" s="697"/>
      <c r="AB10" s="697"/>
      <c r="AD10" s="753" t="s">
        <v>314</v>
      </c>
      <c r="AE10" s="753"/>
    </row>
    <row r="11" spans="1:31" ht="20.100000000000001" customHeight="1" x14ac:dyDescent="0.2">
      <c r="A11" s="752"/>
      <c r="C11" s="677"/>
      <c r="Z11" s="139" t="s">
        <v>315</v>
      </c>
      <c r="AA11" s="139" t="s">
        <v>237</v>
      </c>
      <c r="AB11" s="140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5">
        <f>ROW()-ROW($D$13)</f>
        <v>-1</v>
      </c>
      <c r="E12" s="147"/>
      <c r="F12" s="366"/>
      <c r="G12" s="607" t="str">
        <f ca="1">IF(OR($B12="Manual",$B12="SemiAuto"),QCI.DescManual,IF($B12="Automático",INDEX(ORÇAMENTO!$R$15:$R$266,MATCH($A12,ORÇAMENTO!$E$15:$E$266,0)),""))</f>
        <v/>
      </c>
      <c r="H12" s="147"/>
      <c r="I12" s="606"/>
      <c r="J12" s="367" t="str">
        <f ca="1">IF(AND(ISBLANK(E12),ISBLANK(F12)),"",VLOOKUP($F12,OFFSET(DADOS!$A$2,1,MATCH(QCI!$E12,DADOS!$2:$2,0)-1,100,50),2,FALSE))</f>
        <v/>
      </c>
      <c r="K12" s="605" t="str">
        <f ca="1">IF(OR($B12="Manual",$B12="SemiAuto"),QCI.LoteManual,IF($B12="Automático",IF(TIPOORCAMENTO="Licitado",Import.CTEF,"LOTE 1"),""))</f>
        <v/>
      </c>
      <c r="L12" s="368">
        <f ca="1">ROUND($O12,2)-ROUND($M12,2)-ROUND($N12,2)</f>
        <v>0</v>
      </c>
      <c r="M12" s="369">
        <f ca="1">ROUND($AA12,2)-ROUND($AE12,2)</f>
        <v>0</v>
      </c>
      <c r="N12" s="370">
        <f ca="1">ROUND($AB12,2)</f>
        <v>0</v>
      </c>
      <c r="O12" s="371">
        <f ca="1">IF($B12="Branco",0,IF(OR($B12="Manual",$B12="SemiAuto"),QCI.InvManual,INDEX(ORÇAMENTO!X$15:X$266,MATCH($A12,ORÇAMENTO!$E$15:$E$266,0))))</f>
        <v>0</v>
      </c>
      <c r="P12" s="578"/>
      <c r="R12" s="608"/>
      <c r="T12" s="609"/>
      <c r="U12" s="373"/>
      <c r="V12" s="610" t="s">
        <v>316</v>
      </c>
      <c r="W12" s="374">
        <f ca="1">$O12</f>
        <v>0</v>
      </c>
      <c r="X12" s="375">
        <v>0</v>
      </c>
      <c r="Z12" s="376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7" t="b">
        <f ca="1">AND($AA$3&gt;0,$AA$3&lt;1,$O12&gt;0,OR($B12="Automático",$B12="SemiAuto"),OR(QCI!$Z$3=QCI!$Z$7,QCI!$Z$3=QCI!$AA$7,QCI!$Z$3=QCI!$AB$7))</f>
        <v>0</v>
      </c>
      <c r="AE12" s="377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8">
        <v>0</v>
      </c>
      <c r="B13" s="379" t="s">
        <v>317</v>
      </c>
      <c r="C13" s="135" t="s">
        <v>216</v>
      </c>
      <c r="D13" s="136" t="s">
        <v>194</v>
      </c>
      <c r="E13" s="136" t="s">
        <v>318</v>
      </c>
      <c r="F13" s="136" t="s">
        <v>319</v>
      </c>
      <c r="G13" s="136" t="s">
        <v>320</v>
      </c>
      <c r="H13" s="136" t="s">
        <v>160</v>
      </c>
      <c r="I13" s="136" t="s">
        <v>202</v>
      </c>
      <c r="J13" s="136" t="s">
        <v>321</v>
      </c>
      <c r="K13" s="136" t="s">
        <v>322</v>
      </c>
      <c r="L13" s="380" t="str">
        <f>IF(import.recurso="FGTS","Financiamento (R$)","Repasse (R$)")</f>
        <v>Repasse (R$)</v>
      </c>
      <c r="M13" s="381" t="s">
        <v>323</v>
      </c>
      <c r="N13" s="382" t="s">
        <v>238</v>
      </c>
      <c r="O13" s="136" t="s">
        <v>324</v>
      </c>
      <c r="R13" s="383" t="s">
        <v>320</v>
      </c>
      <c r="T13" s="383" t="s">
        <v>322</v>
      </c>
      <c r="U13" s="201" t="s">
        <v>324</v>
      </c>
      <c r="V13" s="384" t="s">
        <v>325</v>
      </c>
      <c r="W13" s="200" t="s">
        <v>323</v>
      </c>
      <c r="X13" s="202" t="s">
        <v>238</v>
      </c>
    </row>
    <row r="14" spans="1:31" ht="25.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5">
        <f t="shared" ref="D14:D22" si="2">ROW()-ROW($D$13)</f>
        <v>1</v>
      </c>
      <c r="E14" s="147"/>
      <c r="F14" s="366"/>
      <c r="G14" s="607" t="str">
        <f ca="1">IF(OR($B14="Manual",$B14="SemiAuto"),QCI.DescManual,IF($B14="Automático",INDEX(ORÇAMENTO!$R$15:$R$266,MATCH($A14,ORÇAMENTO!$E$15:$E$266,0)),""))</f>
        <v>(REFORMA DO PREDIO PREFEITURA MUNICIPAL</v>
      </c>
      <c r="H14" s="147"/>
      <c r="I14" s="606"/>
      <c r="J14" s="367" t="str">
        <f ca="1">IF(AND(ISBLANK(E14),ISBLANK(F14)),"",VLOOKUP($F14,OFFSET(DADOS!$A$2,1,MATCH(QCI!$E14,DADOS!$2:$2,0)-1,100,50),2,FALSE))</f>
        <v/>
      </c>
      <c r="K14" s="605" t="str">
        <f t="shared" ref="K14:K23" ca="1" si="3">IF(OR($B14="Manual",$B14="SemiAuto"),QCI.LoteManual,IF($B14="Automático",IF(TIPOORCAMENTO="Licitado",Import.CTEF,"LOTE 1"),""))</f>
        <v>LOTE 1</v>
      </c>
      <c r="L14" s="368">
        <f t="shared" ref="L14:L22" ca="1" si="4">ROUND($O14,2)-ROUND($M14,2)-ROUND($N14,2)</f>
        <v>0</v>
      </c>
      <c r="M14" s="369">
        <f t="shared" ref="M14:M22" ca="1" si="5">ROUND($AA14,2)-ROUND($AE14,2)</f>
        <v>192352.07</v>
      </c>
      <c r="N14" s="370">
        <f t="shared" ref="N14:N22" ca="1" si="6">ROUND($AB14,2)</f>
        <v>0</v>
      </c>
      <c r="O14" s="371">
        <f ca="1">IF($B14="Branco",0,IF(OR($B14="Manual",$B14="SemiAuto"),QCI.InvManual,INDEX(ORÇAMENTO!X$15:X$266,MATCH($A14,ORÇAMENTO!$E$15:$E$266,0))))</f>
        <v>192352.07</v>
      </c>
      <c r="P14" s="578"/>
      <c r="R14" s="608"/>
      <c r="T14" s="609"/>
      <c r="U14" s="373"/>
      <c r="V14" s="610" t="s">
        <v>316</v>
      </c>
      <c r="W14" s="374">
        <f t="shared" ref="W14:W22" ca="1" si="7">$O14</f>
        <v>192352.07</v>
      </c>
      <c r="X14" s="375">
        <v>0</v>
      </c>
      <c r="Z14" s="376">
        <f t="shared" ref="Z14:Z22" ca="1" si="8">$O14-$AA14-$AB14</f>
        <v>5.8207660913467407E-11</v>
      </c>
      <c r="AA14">
        <f ca="1">IF($B14="Branco",0,IF($B14="Manual",QCI.CPManual,IF($B14="SemiAuto",ROUND(QCI!$AA$3*QCI.InvManual,2),INDEX(ORÇAMENTO!$AA$15:$AA$266,MATCH($A14,ORÇAMENTO!$E$15:$E$266,0)))))</f>
        <v>192352.06999999995</v>
      </c>
      <c r="AB14">
        <f ca="1">IF($B14="Branco",0,IF($B14="Manual",QCI.OutrosManual,IF($B14="SemiAuto",0,INDEX(ORÇAMENTO!$AB$15:$AB$266,MATCH($A14,ORÇAMENTO!$E$15:$E$266,0)))))</f>
        <v>0</v>
      </c>
      <c r="AD14" s="377" t="b">
        <f ca="1">AND($AA$3&gt;0,$AA$3&lt;1,$O14&gt;0,OR($B14="Automático",$B14="SemiAuto"),OR(QCI!$Z$3=QCI!$Z$7,QCI!$Z$3=QCI!$AA$7,QCI!$Z$3=QCI!$AB$7))</f>
        <v>0</v>
      </c>
      <c r="AE14" s="377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5">
        <f t="shared" si="2"/>
        <v>2</v>
      </c>
      <c r="E15" s="147"/>
      <c r="F15" s="366"/>
      <c r="G15" s="607" t="str">
        <f ca="1">IF(OR($B15="Manual",$B15="SemiAuto"),QCI.DescManual,IF($B15="Automático",INDEX(ORÇAMENTO!$R$15:$R$266,MATCH($A15,ORÇAMENTO!$E$15:$E$266,0)),""))</f>
        <v/>
      </c>
      <c r="H15" s="147"/>
      <c r="I15" s="606"/>
      <c r="J15" s="367" t="str">
        <f ca="1">IF(AND(ISBLANK(E15),ISBLANK(F15)),"",VLOOKUP($F15,OFFSET(DADOS!$A$2,1,MATCH(QCI!$E15,DADOS!$2:$2,0)-1,100,50),2,FALSE))</f>
        <v/>
      </c>
      <c r="K15" s="605" t="str">
        <f t="shared" ca="1" si="3"/>
        <v/>
      </c>
      <c r="L15" s="368">
        <f t="shared" ca="1" si="4"/>
        <v>0</v>
      </c>
      <c r="M15" s="369">
        <f t="shared" ca="1" si="5"/>
        <v>0</v>
      </c>
      <c r="N15" s="370">
        <f t="shared" ca="1" si="6"/>
        <v>0</v>
      </c>
      <c r="O15" s="371">
        <f ca="1">IF($B15="Branco",0,IF(OR($B15="Manual",$B15="SemiAuto"),QCI.InvManual,INDEX(ORÇAMENTO!X$15:X$266,MATCH($A15,ORÇAMENTO!$E$15:$E$266,0))))</f>
        <v>0</v>
      </c>
      <c r="P15" s="578"/>
      <c r="R15" s="608"/>
      <c r="T15" s="609"/>
      <c r="U15" s="373"/>
      <c r="V15" s="610" t="s">
        <v>316</v>
      </c>
      <c r="W15" s="374">
        <f t="shared" ca="1" si="7"/>
        <v>0</v>
      </c>
      <c r="X15" s="375">
        <v>0</v>
      </c>
      <c r="Z15" s="376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7" t="b">
        <f ca="1">AND($AA$3&gt;0,$AA$3&lt;1,$O15&gt;0,OR($B15="Automático",$B15="SemiAuto"),OR(QCI!$Z$3=QCI!$Z$7,QCI!$Z$3=QCI!$AA$7,QCI!$Z$3=QCI!$AB$7))</f>
        <v>0</v>
      </c>
      <c r="AE15" s="377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5">
        <f t="shared" si="2"/>
        <v>3</v>
      </c>
      <c r="E16" s="147"/>
      <c r="F16" s="366"/>
      <c r="G16" s="607" t="str">
        <f ca="1">IF(OR($B16="Manual",$B16="SemiAuto"),QCI.DescManual,IF($B16="Automático",INDEX(ORÇAMENTO!$R$15:$R$266,MATCH($A16,ORÇAMENTO!$E$15:$E$266,0)),""))</f>
        <v/>
      </c>
      <c r="H16" s="147"/>
      <c r="I16" s="606"/>
      <c r="J16" s="367" t="str">
        <f ca="1">IF(AND(ISBLANK(E16),ISBLANK(F16)),"",VLOOKUP($F16,OFFSET(DADOS!$A$2,1,MATCH(QCI!$E16,DADOS!$2:$2,0)-1,100,50),2,FALSE))</f>
        <v/>
      </c>
      <c r="K16" s="605" t="str">
        <f t="shared" ca="1" si="3"/>
        <v/>
      </c>
      <c r="L16" s="368">
        <f t="shared" ca="1" si="4"/>
        <v>0</v>
      </c>
      <c r="M16" s="369">
        <f t="shared" ca="1" si="5"/>
        <v>0</v>
      </c>
      <c r="N16" s="370">
        <f t="shared" ca="1" si="6"/>
        <v>0</v>
      </c>
      <c r="O16" s="371">
        <f ca="1">IF($B16="Branco",0,IF(OR($B16="Manual",$B16="SemiAuto"),QCI.InvManual,INDEX(ORÇAMENTO!X$15:X$266,MATCH($A16,ORÇAMENTO!$E$15:$E$266,0))))</f>
        <v>0</v>
      </c>
      <c r="P16" s="578"/>
      <c r="R16" s="608"/>
      <c r="T16" s="609"/>
      <c r="U16" s="373"/>
      <c r="V16" s="610" t="s">
        <v>316</v>
      </c>
      <c r="W16" s="374">
        <f t="shared" ca="1" si="7"/>
        <v>0</v>
      </c>
      <c r="X16" s="375">
        <v>0</v>
      </c>
      <c r="Z16" s="376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7" t="b">
        <f ca="1">AND($AA$3&gt;0,$AA$3&lt;1,$O16&gt;0,OR($B16="Automático",$B16="SemiAuto"),OR(QCI!$Z$3=QCI!$Z$7,QCI!$Z$3=QCI!$AA$7,QCI!$Z$3=QCI!$AB$7))</f>
        <v>0</v>
      </c>
      <c r="AE16" s="377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5">
        <f t="shared" si="2"/>
        <v>4</v>
      </c>
      <c r="E17" s="147"/>
      <c r="F17" s="366"/>
      <c r="G17" s="607" t="str">
        <f ca="1">IF(OR($B17="Manual",$B17="SemiAuto"),QCI.DescManual,IF($B17="Automático",INDEX(ORÇAMENTO!$R$15:$R$266,MATCH($A17,ORÇAMENTO!$E$15:$E$266,0)),""))</f>
        <v/>
      </c>
      <c r="H17" s="147"/>
      <c r="I17" s="606"/>
      <c r="J17" s="367" t="str">
        <f ca="1">IF(AND(ISBLANK(E17),ISBLANK(F17)),"",VLOOKUP($F17,OFFSET(DADOS!$A$2,1,MATCH(QCI!$E17,DADOS!$2:$2,0)-1,100,50),2,FALSE))</f>
        <v/>
      </c>
      <c r="K17" s="605" t="str">
        <f t="shared" ca="1" si="3"/>
        <v/>
      </c>
      <c r="L17" s="368">
        <f t="shared" ca="1" si="4"/>
        <v>0</v>
      </c>
      <c r="M17" s="369">
        <f t="shared" ca="1" si="5"/>
        <v>0</v>
      </c>
      <c r="N17" s="370">
        <f t="shared" ca="1" si="6"/>
        <v>0</v>
      </c>
      <c r="O17" s="371">
        <f ca="1">IF($B17="Branco",0,IF(OR($B17="Manual",$B17="SemiAuto"),QCI.InvManual,INDEX(ORÇAMENTO!X$15:X$266,MATCH($A17,ORÇAMENTO!$E$15:$E$266,0))))</f>
        <v>0</v>
      </c>
      <c r="P17" s="578"/>
      <c r="R17" s="608"/>
      <c r="T17" s="609"/>
      <c r="U17" s="373"/>
      <c r="V17" s="610" t="s">
        <v>316</v>
      </c>
      <c r="W17" s="374">
        <f t="shared" ca="1" si="7"/>
        <v>0</v>
      </c>
      <c r="X17" s="375">
        <v>0</v>
      </c>
      <c r="Z17" s="376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7" t="b">
        <f ca="1">AND($AA$3&gt;0,$AA$3&lt;1,$O17&gt;0,OR($B17="Automático",$B17="SemiAuto"),OR(QCI!$Z$3=QCI!$Z$7,QCI!$Z$3=QCI!$AA$7,QCI!$Z$3=QCI!$AB$7))</f>
        <v>0</v>
      </c>
      <c r="AE17" s="377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5">
        <f t="shared" si="2"/>
        <v>5</v>
      </c>
      <c r="E18" s="147"/>
      <c r="F18" s="366"/>
      <c r="G18" s="607" t="str">
        <f ca="1">IF(OR($B18="Manual",$B18="SemiAuto"),QCI.DescManual,IF($B18="Automático",INDEX(ORÇAMENTO!$R$15:$R$266,MATCH($A18,ORÇAMENTO!$E$15:$E$266,0)),""))</f>
        <v/>
      </c>
      <c r="H18" s="147"/>
      <c r="I18" s="606"/>
      <c r="J18" s="367" t="str">
        <f ca="1">IF(AND(ISBLANK(E18),ISBLANK(F18)),"",VLOOKUP($F18,OFFSET(DADOS!$A$2,1,MATCH(QCI!$E18,DADOS!$2:$2,0)-1,100,50),2,FALSE))</f>
        <v/>
      </c>
      <c r="K18" s="605" t="str">
        <f t="shared" ca="1" si="3"/>
        <v/>
      </c>
      <c r="L18" s="368">
        <f t="shared" ca="1" si="4"/>
        <v>0</v>
      </c>
      <c r="M18" s="369">
        <f t="shared" ca="1" si="5"/>
        <v>0</v>
      </c>
      <c r="N18" s="370">
        <f t="shared" ca="1" si="6"/>
        <v>0</v>
      </c>
      <c r="O18" s="371">
        <f ca="1">IF($B18="Branco",0,IF(OR($B18="Manual",$B18="SemiAuto"),QCI.InvManual,INDEX(ORÇAMENTO!X$15:X$266,MATCH($A18,ORÇAMENTO!$E$15:$E$266,0))))</f>
        <v>0</v>
      </c>
      <c r="P18" s="578"/>
      <c r="R18" s="608"/>
      <c r="T18" s="609"/>
      <c r="U18" s="373"/>
      <c r="V18" s="610" t="s">
        <v>316</v>
      </c>
      <c r="W18" s="374">
        <f t="shared" ca="1" si="7"/>
        <v>0</v>
      </c>
      <c r="X18" s="375">
        <v>0</v>
      </c>
      <c r="Z18" s="376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7" t="b">
        <f ca="1">AND($AA$3&gt;0,$AA$3&lt;1,$O18&gt;0,OR($B18="Automático",$B18="SemiAuto"),OR(QCI!$Z$3=QCI!$Z$7,QCI!$Z$3=QCI!$AA$7,QCI!$Z$3=QCI!$AB$7))</f>
        <v>0</v>
      </c>
      <c r="AE18" s="377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5">
        <f t="shared" si="2"/>
        <v>6</v>
      </c>
      <c r="E19" s="147"/>
      <c r="F19" s="366"/>
      <c r="G19" s="607" t="str">
        <f ca="1">IF(OR($B19="Manual",$B19="SemiAuto"),QCI.DescManual,IF($B19="Automático",INDEX(ORÇAMENTO!$R$15:$R$266,MATCH($A19,ORÇAMENTO!$E$15:$E$266,0)),""))</f>
        <v/>
      </c>
      <c r="H19" s="147"/>
      <c r="I19" s="606"/>
      <c r="J19" s="367" t="str">
        <f ca="1">IF(AND(ISBLANK(E19),ISBLANK(F19)),"",VLOOKUP($F19,OFFSET(DADOS!$A$2,1,MATCH(QCI!$E19,DADOS!$2:$2,0)-1,100,50),2,FALSE))</f>
        <v/>
      </c>
      <c r="K19" s="605" t="str">
        <f t="shared" ca="1" si="3"/>
        <v/>
      </c>
      <c r="L19" s="368">
        <f t="shared" ca="1" si="4"/>
        <v>0</v>
      </c>
      <c r="M19" s="369">
        <f t="shared" ca="1" si="5"/>
        <v>0</v>
      </c>
      <c r="N19" s="370">
        <f t="shared" ca="1" si="6"/>
        <v>0</v>
      </c>
      <c r="O19" s="371">
        <f ca="1">IF($B19="Branco",0,IF(OR($B19="Manual",$B19="SemiAuto"),QCI.InvManual,INDEX(ORÇAMENTO!X$15:X$266,MATCH($A19,ORÇAMENTO!$E$15:$E$266,0))))</f>
        <v>0</v>
      </c>
      <c r="P19" s="578"/>
      <c r="R19" s="608"/>
      <c r="T19" s="609"/>
      <c r="U19" s="373"/>
      <c r="V19" s="610" t="s">
        <v>316</v>
      </c>
      <c r="W19" s="374">
        <f t="shared" ca="1" si="7"/>
        <v>0</v>
      </c>
      <c r="X19" s="375">
        <v>0</v>
      </c>
      <c r="Z19" s="376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7" t="b">
        <f ca="1">AND($AA$3&gt;0,$AA$3&lt;1,$O19&gt;0,OR($B19="Automático",$B19="SemiAuto"),OR(QCI!$Z$3=QCI!$Z$7,QCI!$Z$3=QCI!$AA$7,QCI!$Z$3=QCI!$AB$7))</f>
        <v>0</v>
      </c>
      <c r="AE19" s="377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5">
        <f t="shared" si="2"/>
        <v>7</v>
      </c>
      <c r="E20" s="147"/>
      <c r="F20" s="366"/>
      <c r="G20" s="607" t="str">
        <f ca="1">IF(OR($B20="Manual",$B20="SemiAuto"),QCI.DescManual,IF($B20="Automático",INDEX(ORÇAMENTO!$R$15:$R$266,MATCH($A20,ORÇAMENTO!$E$15:$E$266,0)),""))</f>
        <v/>
      </c>
      <c r="H20" s="147"/>
      <c r="I20" s="606"/>
      <c r="J20" s="367" t="str">
        <f ca="1">IF(AND(ISBLANK(E20),ISBLANK(F20)),"",VLOOKUP($F20,OFFSET(DADOS!$A$2,1,MATCH(QCI!$E20,DADOS!$2:$2,0)-1,100,50),2,FALSE))</f>
        <v/>
      </c>
      <c r="K20" s="605" t="str">
        <f t="shared" ca="1" si="3"/>
        <v/>
      </c>
      <c r="L20" s="368">
        <f t="shared" ca="1" si="4"/>
        <v>0</v>
      </c>
      <c r="M20" s="369">
        <f t="shared" ca="1" si="5"/>
        <v>0</v>
      </c>
      <c r="N20" s="370">
        <f t="shared" ca="1" si="6"/>
        <v>0</v>
      </c>
      <c r="O20" s="371">
        <f ca="1">IF($B20="Branco",0,IF(OR($B20="Manual",$B20="SemiAuto"),QCI.InvManual,INDEX(ORÇAMENTO!X$15:X$266,MATCH($A20,ORÇAMENTO!$E$15:$E$266,0))))</f>
        <v>0</v>
      </c>
      <c r="P20" s="578"/>
      <c r="R20" s="608"/>
      <c r="T20" s="609"/>
      <c r="U20" s="373"/>
      <c r="V20" s="610" t="s">
        <v>316</v>
      </c>
      <c r="W20" s="374">
        <f t="shared" ca="1" si="7"/>
        <v>0</v>
      </c>
      <c r="X20" s="375">
        <v>0</v>
      </c>
      <c r="Z20" s="376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7" t="b">
        <f ca="1">AND($AA$3&gt;0,$AA$3&lt;1,$O20&gt;0,OR($B20="Automático",$B20="SemiAuto"),OR(QCI!$Z$3=QCI!$Z$7,QCI!$Z$3=QCI!$AA$7,QCI!$Z$3=QCI!$AB$7))</f>
        <v>0</v>
      </c>
      <c r="AE20" s="377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5">
        <f t="shared" si="2"/>
        <v>8</v>
      </c>
      <c r="E21" s="147"/>
      <c r="F21" s="366"/>
      <c r="G21" s="607" t="str">
        <f ca="1">IF(OR($B21="Manual",$B21="SemiAuto"),QCI.DescManual,IF($B21="Automático",INDEX(ORÇAMENTO!$R$15:$R$266,MATCH($A21,ORÇAMENTO!$E$15:$E$266,0)),""))</f>
        <v/>
      </c>
      <c r="H21" s="147"/>
      <c r="I21" s="606"/>
      <c r="J21" s="367" t="str">
        <f ca="1">IF(AND(ISBLANK(E21),ISBLANK(F21)),"",VLOOKUP($F21,OFFSET(DADOS!$A$2,1,MATCH(QCI!$E21,DADOS!$2:$2,0)-1,100,50),2,FALSE))</f>
        <v/>
      </c>
      <c r="K21" s="605" t="str">
        <f t="shared" ca="1" si="3"/>
        <v/>
      </c>
      <c r="L21" s="368">
        <f t="shared" ca="1" si="4"/>
        <v>0</v>
      </c>
      <c r="M21" s="369">
        <f t="shared" ca="1" si="5"/>
        <v>0</v>
      </c>
      <c r="N21" s="370">
        <f t="shared" ca="1" si="6"/>
        <v>0</v>
      </c>
      <c r="O21" s="371">
        <f ca="1">IF($B21="Branco",0,IF(OR($B21="Manual",$B21="SemiAuto"),QCI.InvManual,INDEX(ORÇAMENTO!X$15:X$266,MATCH($A21,ORÇAMENTO!$E$15:$E$266,0))))</f>
        <v>0</v>
      </c>
      <c r="P21" s="578"/>
      <c r="R21" s="608"/>
      <c r="T21" s="609"/>
      <c r="U21" s="373"/>
      <c r="V21" s="610" t="s">
        <v>316</v>
      </c>
      <c r="W21" s="374">
        <f t="shared" ca="1" si="7"/>
        <v>0</v>
      </c>
      <c r="X21" s="375">
        <v>0</v>
      </c>
      <c r="Z21" s="376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7" t="b">
        <f ca="1">AND($AA$3&gt;0,$AA$3&lt;1,$O21&gt;0,OR($B21="Automático",$B21="SemiAuto"),OR(QCI!$Z$3=QCI!$Z$7,QCI!$Z$3=QCI!$AA$7,QCI!$Z$3=QCI!$AB$7))</f>
        <v>0</v>
      </c>
      <c r="AE21" s="377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5">
        <f t="shared" si="2"/>
        <v>9</v>
      </c>
      <c r="E22" s="147"/>
      <c r="F22" s="366"/>
      <c r="G22" s="607" t="str">
        <f ca="1">IF(OR($B22="Manual",$B22="SemiAuto"),QCI.DescManual,IF($B22="Automático",INDEX(ORÇAMENTO!$R$15:$R$266,MATCH($A22,ORÇAMENTO!$E$15:$E$266,0)),""))</f>
        <v/>
      </c>
      <c r="H22" s="147"/>
      <c r="I22" s="606"/>
      <c r="J22" s="367" t="str">
        <f ca="1">IF(AND(ISBLANK(E22),ISBLANK(F22)),"",VLOOKUP($F22,OFFSET(DADOS!$A$2,1,MATCH(QCI!$E22,DADOS!$2:$2,0)-1,100,50),2,FALSE))</f>
        <v/>
      </c>
      <c r="K22" s="605" t="str">
        <f t="shared" ca="1" si="3"/>
        <v/>
      </c>
      <c r="L22" s="368">
        <f t="shared" ca="1" si="4"/>
        <v>0</v>
      </c>
      <c r="M22" s="369">
        <f t="shared" ca="1" si="5"/>
        <v>0</v>
      </c>
      <c r="N22" s="370">
        <f t="shared" ca="1" si="6"/>
        <v>0</v>
      </c>
      <c r="O22" s="371">
        <f ca="1">IF($B22="Branco",0,IF(OR($B22="Manual",$B22="SemiAuto"),QCI.InvManual,INDEX(ORÇAMENTO!X$15:X$266,MATCH($A22,ORÇAMENTO!$E$15:$E$266,0))))</f>
        <v>0</v>
      </c>
      <c r="P22" s="578"/>
      <c r="R22" s="608"/>
      <c r="T22" s="609"/>
      <c r="U22" s="373"/>
      <c r="V22" s="610" t="s">
        <v>316</v>
      </c>
      <c r="W22" s="374">
        <f t="shared" ca="1" si="7"/>
        <v>0</v>
      </c>
      <c r="X22" s="375">
        <v>0</v>
      </c>
      <c r="Z22" s="376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7" t="b">
        <f ca="1">AND($AA$3&gt;0,$AA$3&lt;1,$O22&gt;0,OR($B22="Automático",$B22="SemiAuto"),OR(QCI!$Z$3=QCI!$Z$7,QCI!$Z$3=QCI!$AA$7,QCI!$Z$3=QCI!$AB$7))</f>
        <v>0</v>
      </c>
      <c r="AE22" s="377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5">
        <f>ROW()-ROW($D$13)</f>
        <v>10</v>
      </c>
      <c r="E23" s="147"/>
      <c r="F23" s="366"/>
      <c r="G23" s="607" t="str">
        <f ca="1">IF(OR($B23="Manual",$B23="SemiAuto"),QCI.DescManual,IF($B23="Automático",INDEX(ORÇAMENTO!$R$15:$R$266,MATCH($A23,ORÇAMENTO!$E$15:$E$266,0)),""))</f>
        <v/>
      </c>
      <c r="H23" s="147"/>
      <c r="I23" s="606"/>
      <c r="J23" s="367" t="str">
        <f ca="1">IF(AND(ISBLANK(E23),ISBLANK(F23)),"",VLOOKUP($F23,OFFSET(DADOS!$A$2,1,MATCH(QCI!$E23,DADOS!$2:$2,0)-1,100,50),2,FALSE))</f>
        <v/>
      </c>
      <c r="K23" s="605" t="str">
        <f t="shared" ca="1" si="3"/>
        <v/>
      </c>
      <c r="L23" s="368">
        <f ca="1">ROUND($O23,2)-ROUND($M23,2)-ROUND($N23,2)</f>
        <v>0</v>
      </c>
      <c r="M23" s="369">
        <f ca="1">ROUND($AA23,2)-ROUND($AE23,2)</f>
        <v>0</v>
      </c>
      <c r="N23" s="370">
        <f ca="1">ROUND($AB23,2)</f>
        <v>0</v>
      </c>
      <c r="O23" s="371">
        <f ca="1">IF($B23="Branco",0,IF(OR($B23="Manual",$B23="SemiAuto"),QCI.InvManual,INDEX(ORÇAMENTO!X$15:X$266,MATCH($A23,ORÇAMENTO!$E$15:$E$266,0))))</f>
        <v>0</v>
      </c>
      <c r="P23" s="578"/>
      <c r="R23" s="608"/>
      <c r="T23" s="609"/>
      <c r="U23" s="373"/>
      <c r="V23" s="610" t="s">
        <v>316</v>
      </c>
      <c r="W23" s="374">
        <f ca="1">$O23</f>
        <v>0</v>
      </c>
      <c r="X23" s="375">
        <v>0</v>
      </c>
      <c r="Z23" s="376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7" t="b">
        <f ca="1">AND($AA$3&gt;0,$AA$3&lt;1,$O23&gt;0,OR($B23="Automático",$B23="SemiAuto"),OR(QCI!$Z$3=QCI!$Z$7,QCI!$Z$3=QCI!$AA$7,QCI!$Z$3=QCI!$AB$7))</f>
        <v>0</v>
      </c>
      <c r="AE23" s="377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5"/>
      <c r="E24" s="386"/>
      <c r="F24" s="386"/>
      <c r="G24" s="386"/>
      <c r="H24" s="386"/>
      <c r="I24" s="386"/>
      <c r="J24" s="386"/>
      <c r="K24" s="754" t="s">
        <v>327</v>
      </c>
      <c r="L24" s="387">
        <f ca="1">SUM(L13:OFFSET(L24,-1,0))</f>
        <v>0</v>
      </c>
      <c r="M24" s="388">
        <f ca="1">SUM(M13:OFFSET(M24,-1,0))</f>
        <v>192352.07</v>
      </c>
      <c r="N24" s="389">
        <f ca="1">SUM(N13:OFFSET(N24,-1,0))</f>
        <v>0</v>
      </c>
      <c r="O24" s="390">
        <f ca="1">SUM(O13:OFFSET(O24,-1,0))</f>
        <v>192352.07</v>
      </c>
      <c r="R24" s="391"/>
      <c r="T24" s="392"/>
      <c r="U24" s="393"/>
      <c r="V24" s="394"/>
      <c r="W24" s="395"/>
      <c r="X24" s="396"/>
      <c r="Z24" s="397">
        <f ca="1">SUMPRODUCT(ROUND(Z13:OFFSET(Z24,-1,0),2))</f>
        <v>0</v>
      </c>
      <c r="AA24" s="397">
        <f ca="1">SUMPRODUCT(ROUND(AA13:OFFSET(AA24,-1,0),2))</f>
        <v>192352.07</v>
      </c>
      <c r="AB24" s="397">
        <f ca="1">SUM(AB13:OFFSET(AB24,-1,0))</f>
        <v>0</v>
      </c>
    </row>
    <row r="25" spans="1:31" x14ac:dyDescent="0.2">
      <c r="B25" t="s">
        <v>328</v>
      </c>
      <c r="C25" t="s">
        <v>245</v>
      </c>
      <c r="D25" s="398"/>
      <c r="E25" s="399"/>
      <c r="F25" s="399"/>
      <c r="G25" s="399"/>
      <c r="H25" s="399"/>
      <c r="I25" s="399"/>
      <c r="J25" s="399"/>
      <c r="K25" s="754"/>
      <c r="L25" s="400">
        <f ca="1">IF(ISERROR(L24/$O24),0,ROUND(L24/$O24,4))</f>
        <v>0</v>
      </c>
      <c r="M25" s="401">
        <f ca="1">IF(ISERROR(M24/$O24),0,ROUND(M24/$O24,4))</f>
        <v>1</v>
      </c>
      <c r="N25" s="402">
        <f ca="1">IF(ISERROR(N24/$O24),0,ROUND(N24/$O24,4))</f>
        <v>0</v>
      </c>
      <c r="O25" s="403">
        <f ca="1">IF(ISERROR(O24/$O24),0,ROUND(O24/$O24,4))</f>
        <v>1</v>
      </c>
      <c r="R25" s="404"/>
      <c r="T25" s="405"/>
      <c r="U25" s="406"/>
      <c r="V25" s="407"/>
      <c r="W25" s="408"/>
      <c r="X25" s="409"/>
    </row>
    <row r="27" spans="1:31" ht="14.25" x14ac:dyDescent="0.2">
      <c r="D27" s="170" t="s">
        <v>186</v>
      </c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31" ht="12.75" customHeight="1" x14ac:dyDescent="0.2"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4"/>
      <c r="O28" s="704"/>
    </row>
    <row r="29" spans="1:31" ht="12.75" customHeight="1" x14ac:dyDescent="0.2"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</row>
    <row r="30" spans="1:31" ht="12.75" customHeight="1" x14ac:dyDescent="0.2"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</row>
    <row r="33" spans="4:12" ht="15" x14ac:dyDescent="0.2">
      <c r="D33" s="706" t="str">
        <f>Import.Município</f>
        <v>CÉU AZUL/PR</v>
      </c>
      <c r="E33" s="706"/>
      <c r="F33" s="706"/>
      <c r="I33" s="175"/>
      <c r="J33" s="175"/>
      <c r="K33" s="228"/>
      <c r="L33" s="228"/>
    </row>
    <row r="34" spans="4:12" x14ac:dyDescent="0.2">
      <c r="D34" s="12" t="s">
        <v>187</v>
      </c>
      <c r="E34" s="104"/>
      <c r="F34" s="104"/>
      <c r="I34" s="229" t="s">
        <v>329</v>
      </c>
      <c r="J34" s="229"/>
    </row>
    <row r="35" spans="4:12" x14ac:dyDescent="0.2">
      <c r="D35" s="104"/>
      <c r="E35" s="104"/>
      <c r="F35" s="104"/>
      <c r="I35" s="94" t="str">
        <f>"Nome:" &amp;  " " &amp; DADOS!F28</f>
        <v>Nome: LAURINDO SPEROTTO</v>
      </c>
    </row>
    <row r="36" spans="4:12" x14ac:dyDescent="0.2">
      <c r="D36" s="701">
        <f>DADOS!$F$25</f>
        <v>45146</v>
      </c>
      <c r="E36" s="701"/>
      <c r="F36" s="701"/>
      <c r="I36" s="94" t="str">
        <f>"Cargo:"  &amp; " " &amp; DADOS!F29</f>
        <v>Cargo: PREFEITO</v>
      </c>
    </row>
    <row r="37" spans="4:12" x14ac:dyDescent="0.2">
      <c r="D37" s="177" t="s">
        <v>188</v>
      </c>
      <c r="E37" s="178"/>
      <c r="F37" s="178"/>
      <c r="K37" s="94"/>
      <c r="L37" s="95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J34" sqref="J34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99"/>
      <c r="D1" s="99"/>
      <c r="E1" s="410" t="str">
        <f>IF(CAIXA.Modo,"BA - Boletim de Aferição","BM - Boletim de Medição")</f>
        <v>BM - Boletim de Medição</v>
      </c>
      <c r="F1" s="99"/>
      <c r="G1" s="411"/>
      <c r="H1" s="99"/>
      <c r="J1" s="411"/>
      <c r="K1" s="411"/>
      <c r="L1" s="411"/>
      <c r="M1" s="411"/>
      <c r="N1" s="411"/>
      <c r="O1" s="68" t="s">
        <v>139</v>
      </c>
    </row>
    <row r="2" spans="1:41" ht="15" x14ac:dyDescent="0.2">
      <c r="A2" s="412" t="s">
        <v>330</v>
      </c>
      <c r="B2" s="413"/>
      <c r="C2" s="104"/>
      <c r="D2" s="104"/>
      <c r="E2" s="414" t="str">
        <f ca="1">IF(Import.RegimeExecução="(SELECIONAR)","Selecione o Regime de Execução na Aba Dados",Import.RegimeExecução&amp;" - "&amp;import.recurso)</f>
        <v>Selecione o Regime de Execução na Aba Dados</v>
      </c>
      <c r="F2" s="104"/>
      <c r="G2" s="104"/>
      <c r="H2" s="104"/>
      <c r="J2" s="104"/>
      <c r="K2" s="104"/>
      <c r="L2" s="104"/>
      <c r="M2" s="104"/>
      <c r="N2" s="104"/>
      <c r="O2" s="14" t="s">
        <v>142</v>
      </c>
    </row>
    <row r="3" spans="1:41" x14ac:dyDescent="0.2">
      <c r="A3" s="775" t="b">
        <v>0</v>
      </c>
      <c r="B3" s="775"/>
      <c r="C3" s="104"/>
      <c r="D3" s="104"/>
      <c r="E3" s="109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41" x14ac:dyDescent="0.2">
      <c r="C4" s="104"/>
      <c r="D4" s="684" t="s">
        <v>146</v>
      </c>
      <c r="E4" s="684"/>
      <c r="F4" s="695" t="s">
        <v>438</v>
      </c>
      <c r="G4" s="695"/>
      <c r="H4" s="695"/>
      <c r="I4" s="183" t="s">
        <v>439</v>
      </c>
      <c r="J4" s="684" t="s">
        <v>201</v>
      </c>
      <c r="K4" s="684"/>
      <c r="L4" s="684"/>
      <c r="M4" s="684"/>
      <c r="N4" s="684"/>
      <c r="O4" s="185" t="s">
        <v>331</v>
      </c>
    </row>
    <row r="5" spans="1:41" ht="12.75" customHeight="1" x14ac:dyDescent="0.2">
      <c r="A5" t="s">
        <v>332</v>
      </c>
      <c r="C5" s="104"/>
      <c r="D5" s="687" t="str">
        <f>Import.Proponente</f>
        <v>MUNICIPIO DE CÉU AZUL</v>
      </c>
      <c r="E5" s="687"/>
      <c r="F5" s="700">
        <f>Import.CR</f>
        <v>0</v>
      </c>
      <c r="G5" s="700"/>
      <c r="H5" s="700"/>
      <c r="I5" s="415">
        <f>Import.SICONV</f>
        <v>0</v>
      </c>
      <c r="J5" s="687" t="str">
        <f>Import.Apelido</f>
        <v>PAÇO MUNICIPAL</v>
      </c>
      <c r="K5" s="687"/>
      <c r="L5" s="687"/>
      <c r="M5" s="687"/>
      <c r="N5" s="687"/>
      <c r="O5" s="416">
        <f>Import.DataInicioObra</f>
        <v>0</v>
      </c>
      <c r="AO5" s="417" t="s">
        <v>333</v>
      </c>
    </row>
    <row r="6" spans="1:41" ht="5.0999999999999996" customHeight="1" x14ac:dyDescent="0.2">
      <c r="C6" s="104"/>
      <c r="D6" s="121"/>
      <c r="E6" s="122"/>
      <c r="F6" s="121"/>
      <c r="G6" s="121"/>
      <c r="H6" s="121"/>
      <c r="I6" s="121"/>
      <c r="J6" s="121"/>
      <c r="K6" s="121"/>
      <c r="L6" s="121"/>
      <c r="M6" s="121"/>
      <c r="N6" s="121"/>
      <c r="O6" s="121"/>
      <c r="AO6" s="418"/>
    </row>
    <row r="7" spans="1:41" ht="12.75" customHeight="1" x14ac:dyDescent="0.2">
      <c r="A7" t="str">
        <f ca="1">RegimeExecucao</f>
        <v>Unitário</v>
      </c>
      <c r="C7" s="104"/>
      <c r="D7" s="111" t="s">
        <v>334</v>
      </c>
      <c r="E7" s="111" t="s">
        <v>335</v>
      </c>
      <c r="F7" s="684" t="s">
        <v>336</v>
      </c>
      <c r="G7" s="684"/>
      <c r="H7" s="684"/>
      <c r="I7" s="684" t="str">
        <f>IF(TIPOORCAMENTO="Licitado","REGIME DE EXECUÇÃO","MUNICÍPIO / UF")</f>
        <v>MUNICÍPIO / UF</v>
      </c>
      <c r="J7" s="684"/>
      <c r="K7" s="684"/>
      <c r="L7" s="684"/>
      <c r="M7" s="684" t="s">
        <v>337</v>
      </c>
      <c r="N7" s="684"/>
      <c r="O7" s="111" t="s">
        <v>338</v>
      </c>
      <c r="AO7" s="359">
        <f ca="1">BM.MEDAcumulado</f>
        <v>0</v>
      </c>
    </row>
    <row r="8" spans="1:41" ht="12.75" customHeight="1" x14ac:dyDescent="0.2">
      <c r="A8" s="412" t="s">
        <v>339</v>
      </c>
      <c r="B8" s="413"/>
      <c r="C8" s="677" t="s">
        <v>208</v>
      </c>
      <c r="D8" s="419">
        <f>Import.CTEF</f>
        <v>0</v>
      </c>
      <c r="E8" s="72">
        <f>Import.empresa</f>
        <v>0</v>
      </c>
      <c r="F8" s="687">
        <f>Import.CNPJ</f>
        <v>0</v>
      </c>
      <c r="G8" s="687"/>
      <c r="H8" s="687"/>
      <c r="I8" s="687" t="str">
        <f>IF(TIPOORCAMENTO="Licitado",Import.RegimeExecução,Import.Município)</f>
        <v>CÉU AZUL/PR</v>
      </c>
      <c r="J8" s="687"/>
      <c r="K8" s="687"/>
      <c r="L8" s="687"/>
      <c r="M8" s="687" t="str">
        <f ca="1">TEXT(IF(BM.medicao=1,Import.DataInicioObra,OFFSET($AB$12,0,BM.medicao-1-$AB$13)+1),"dd/mm/aaaa")&amp;" a "&amp;TEXT(OFFSET($AB$12,0,BM.medicao-$AB$13),"dd/mm/aaaa")</f>
        <v>00/01/1900 a 00/01/1900</v>
      </c>
      <c r="N8" s="687"/>
      <c r="O8" s="540">
        <v>1</v>
      </c>
    </row>
    <row r="9" spans="1:41" ht="12.75" customHeight="1" x14ac:dyDescent="0.2">
      <c r="A9" s="577" t="b">
        <v>1</v>
      </c>
      <c r="B9" s="54"/>
      <c r="C9" s="677"/>
      <c r="D9" s="16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41" x14ac:dyDescent="0.2">
      <c r="C10" s="677"/>
      <c r="D10" s="16"/>
      <c r="E10" s="773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3"/>
      <c r="G10" s="773"/>
      <c r="H10" s="773"/>
      <c r="I10" s="773"/>
      <c r="J10" s="104"/>
      <c r="K10" s="104"/>
      <c r="L10" s="104"/>
      <c r="N10" s="774" t="str">
        <f ca="1">"Realizado Acumulado: "&amp;TEXT(ROUND($O$15/($I$15+10^-12),4),"0,00%")</f>
        <v>Realizado Acumulado: 0,00%</v>
      </c>
      <c r="O10" s="774"/>
    </row>
    <row r="11" spans="1:41" ht="15" customHeight="1" x14ac:dyDescent="0.25">
      <c r="C11" s="677"/>
      <c r="D11" s="104"/>
      <c r="E11" s="773"/>
      <c r="F11" s="773"/>
      <c r="G11" s="773"/>
      <c r="H11" s="773"/>
      <c r="I11" s="773"/>
      <c r="J11" s="104"/>
      <c r="K11" s="104"/>
      <c r="L11" s="104"/>
      <c r="M11" s="104"/>
      <c r="N11" s="774"/>
      <c r="O11" s="774"/>
      <c r="T11" s="772" t="s">
        <v>340</v>
      </c>
      <c r="U11" s="772"/>
      <c r="V11" s="100"/>
      <c r="W11" s="100"/>
      <c r="X11" s="100"/>
      <c r="Y11" s="100"/>
      <c r="Z11" s="59"/>
      <c r="AB11" s="769" t="s">
        <v>341</v>
      </c>
      <c r="AC11" s="769"/>
      <c r="AD11" s="769"/>
      <c r="AE11" s="769"/>
      <c r="AF11" s="769"/>
      <c r="AG11" s="769"/>
      <c r="AH11" s="769"/>
      <c r="AI11" s="769"/>
      <c r="AJ11" s="769"/>
      <c r="AK11" s="769"/>
      <c r="AL11" s="769"/>
      <c r="AM11" s="769"/>
    </row>
    <row r="12" spans="1:41" ht="15" customHeight="1" x14ac:dyDescent="0.25">
      <c r="C12" s="677"/>
      <c r="D12" s="104"/>
      <c r="E12" s="199" t="s">
        <v>342</v>
      </c>
      <c r="F12" s="104"/>
      <c r="G12" s="104"/>
      <c r="H12" s="104"/>
      <c r="I12" s="104"/>
      <c r="J12" s="770" t="str">
        <f ca="1">"Evolução Física "&amp;CHOOSE(MATCH(RegimeExecucao,{"Unitário","Global"},0),"(Qtde.)","(%)")</f>
        <v>Evolução Física (Qtde.)</v>
      </c>
      <c r="K12" s="770"/>
      <c r="L12" s="770"/>
      <c r="M12" s="770" t="s">
        <v>343</v>
      </c>
      <c r="N12" s="770"/>
      <c r="O12" s="770"/>
      <c r="Q12" s="771" t="str">
        <f ca="1">"Aferido (CAIXA) "&amp;CHOOSE(MATCH(RegimeExecucao,{"Unitário","Global"},0),"(Qtde.)","(%)")</f>
        <v>Aferido (CAIXA) (Qtde.)</v>
      </c>
      <c r="R12" s="771"/>
      <c r="T12" s="420" t="s">
        <v>344</v>
      </c>
      <c r="U12" s="228"/>
      <c r="V12" s="228"/>
      <c r="W12" s="228"/>
      <c r="X12" s="228"/>
      <c r="Y12" s="228"/>
      <c r="Z12" s="54"/>
      <c r="AB12" s="421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3"/>
    </row>
    <row r="13" spans="1:41" ht="45" customHeight="1" x14ac:dyDescent="0.2">
      <c r="A13" s="136" t="s">
        <v>221</v>
      </c>
      <c r="B13" s="136" t="s">
        <v>220</v>
      </c>
      <c r="C13" s="135" t="s">
        <v>216</v>
      </c>
      <c r="D13" s="383" t="s">
        <v>230</v>
      </c>
      <c r="E13" s="383" t="s">
        <v>233</v>
      </c>
      <c r="F13" s="424" t="s">
        <v>234</v>
      </c>
      <c r="G13" s="383" t="s">
        <v>202</v>
      </c>
      <c r="H13" s="383" t="s">
        <v>235</v>
      </c>
      <c r="I13" s="383" t="s">
        <v>236</v>
      </c>
      <c r="J13" s="383" t="s">
        <v>345</v>
      </c>
      <c r="K13" s="383" t="s">
        <v>346</v>
      </c>
      <c r="L13" s="383" t="s">
        <v>347</v>
      </c>
      <c r="M13" s="383" t="s">
        <v>345</v>
      </c>
      <c r="N13" s="383" t="s">
        <v>346</v>
      </c>
      <c r="O13" s="383" t="s">
        <v>347</v>
      </c>
      <c r="Q13" s="383" t="s">
        <v>345</v>
      </c>
      <c r="R13" s="383" t="s">
        <v>347</v>
      </c>
      <c r="T13" s="383" t="s">
        <v>230</v>
      </c>
      <c r="U13" s="383" t="s">
        <v>233</v>
      </c>
      <c r="V13" s="424" t="str">
        <f ca="1">IF(RegimeExecucao="Unitário","Unidade","")</f>
        <v>Unidade</v>
      </c>
      <c r="W13" s="383" t="str">
        <f ca="1">CHOOSE(MATCH(RegimeExecucao,{"Unitário","Global"},0),"Quant. Glosada (unid)","Percentual Glosado (%)")</f>
        <v>Quant. Glosada (unid)</v>
      </c>
      <c r="X13" s="383" t="str">
        <f ca="1">CHOOSE(MATCH(RegimeExecucao,{"Unitário","Global"},0),"Preço Unitário (R$)","Valor Total do Item (R$)")</f>
        <v>Preço Unitário (R$)</v>
      </c>
      <c r="Y13" s="383" t="s">
        <v>348</v>
      </c>
      <c r="Z13" s="383" t="s">
        <v>349</v>
      </c>
      <c r="AA13" s="425"/>
      <c r="AB13" s="426">
        <f ca="1">IF(BM.medicao&lt;=12,1,TRUNC((BM.medicao - 2)/11,0) * 11 + 1)</f>
        <v>1</v>
      </c>
      <c r="AC13" s="426">
        <f ca="1">OFFSET(AC13,0,-1)+1</f>
        <v>2</v>
      </c>
      <c r="AD13" s="426">
        <f t="shared" ref="AD13:AM13" ca="1" si="0">OFFSET(AD13,0,-1)+1</f>
        <v>3</v>
      </c>
      <c r="AE13" s="426">
        <f t="shared" ca="1" si="0"/>
        <v>4</v>
      </c>
      <c r="AF13" s="426">
        <f t="shared" ca="1" si="0"/>
        <v>5</v>
      </c>
      <c r="AG13" s="426">
        <f t="shared" ca="1" si="0"/>
        <v>6</v>
      </c>
      <c r="AH13" s="426">
        <f t="shared" ca="1" si="0"/>
        <v>7</v>
      </c>
      <c r="AI13" s="426">
        <f t="shared" ca="1" si="0"/>
        <v>8</v>
      </c>
      <c r="AJ13" s="426">
        <f t="shared" ca="1" si="0"/>
        <v>9</v>
      </c>
      <c r="AK13" s="426">
        <f t="shared" ca="1" si="0"/>
        <v>10</v>
      </c>
      <c r="AL13" s="426">
        <f t="shared" ca="1" si="0"/>
        <v>11</v>
      </c>
      <c r="AM13" s="426">
        <f t="shared" ca="1" si="0"/>
        <v>12</v>
      </c>
      <c r="AO13" s="136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3" t="str">
        <f ca="1">IF(OR($I14&gt;0,$A14=1,$A14=2,$A14=3,$A14=4),"F","")</f>
        <v/>
      </c>
      <c r="D14" s="146" t="str">
        <f ca="1">ORÇAMENTO!O14</f>
        <v>-</v>
      </c>
      <c r="E14" s="206" t="str">
        <f ca="1">ORÇAMENTO.Descricao</f>
        <v>(abra o arquivo 'Referência 05-2023.xls)</v>
      </c>
      <c r="F14" s="207" t="str">
        <f ca="1">IF(RegimeExecucao="Global","",ORÇAMENTO.Unidade)</f>
        <v>-</v>
      </c>
      <c r="G14" s="151">
        <f ca="1">IF(RegimeExecucao="Global","",ORÇAMENTO!T14)</f>
        <v>0</v>
      </c>
      <c r="H14" s="151">
        <f ca="1">IF(RegimeExecucao="Global","",ORÇAMENTO!W14)</f>
        <v>0</v>
      </c>
      <c r="I14" s="154">
        <f ca="1">ORÇAMENTO!X14</f>
        <v>0</v>
      </c>
      <c r="J14" s="427">
        <f ca="1">IF($A14="S",IF(CAIXA.Modo,BM.AFAnterior,BM.MEDAnterior),IF(AND(RegimeExecucao="Global",$I14&gt;0,COUNTIF($AB$13:$AM$13,BM.medicao-1)&gt;0),M14/$I14*100,0))</f>
        <v>0</v>
      </c>
      <c r="K14" s="151">
        <f ca="1">L14-J14</f>
        <v>0</v>
      </c>
      <c r="L14" s="428">
        <f ca="1">IF($A14="S",IF(CAIXA.Modo,BM.AFAcumulado,BM.MEDAcumulado),IF(AND(RegimeExecucao="Global",$I14&gt;0,COUNTIF($AB$13:$AM$13,BM.medicao)&gt;0),O14/$I14*100,0))</f>
        <v>0</v>
      </c>
      <c r="M14" s="429">
        <f ca="1">IF($A14="S",VTOTALBM,IF($A14=0,0,ROUND(SomaAgrupBM,15-13*ORÇAMENTO!$AF$11)))</f>
        <v>0</v>
      </c>
      <c r="N14" s="430">
        <f ca="1">O14-M14</f>
        <v>0</v>
      </c>
      <c r="O14" s="154">
        <f ca="1">IF($A14="S",VTOTALBM,IF($A14=0,0,ROUND(SomaAgrupBM,15-13*ORÇAMENTO!$AF$11)))</f>
        <v>0</v>
      </c>
      <c r="Q14" s="431"/>
      <c r="R14" s="432"/>
      <c r="T14" s="146" t="str">
        <f ca="1">IF($W14&gt;0,$D14,"")</f>
        <v/>
      </c>
      <c r="U14" s="206" t="str">
        <f ca="1">IF($W14&gt;0,$E14,"")</f>
        <v/>
      </c>
      <c r="V14" s="207" t="str">
        <f ca="1">IF(AND($W14&gt;0,RegimeExecucao="Unitário"),$F14,"")</f>
        <v/>
      </c>
      <c r="W14" s="595">
        <f ca="1">IF($Y14&gt;0,CHOOSE(MATCH(RegimeExecucao,{"Unitário","Global"},0),IF($A14="S",$Y14/$X14,""),($Y14/$X14)*100),0)</f>
        <v>0</v>
      </c>
      <c r="X14" s="433" t="str">
        <f ca="1">IF($Y14&gt;0,CHOOSE(MATCH(RegimeExecucao,{"Unitário","Global"},0),IF($A14="S",ROUND($H14,ORÇAMENTO!$AF$10),""),ROUND($I14,ORÇAMENTO!$AF$11)),"")</f>
        <v/>
      </c>
      <c r="Y14" s="433">
        <f ca="1">AO14-O14</f>
        <v>0</v>
      </c>
      <c r="Z14" s="434"/>
      <c r="AB14" s="431"/>
      <c r="AC14" s="569"/>
      <c r="AD14" s="569"/>
      <c r="AE14" s="569"/>
      <c r="AF14" s="569"/>
      <c r="AG14" s="569"/>
      <c r="AH14" s="569"/>
      <c r="AI14" s="569"/>
      <c r="AJ14" s="569"/>
      <c r="AK14" s="569"/>
      <c r="AL14" s="569"/>
      <c r="AM14" s="432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3" t="s">
        <v>245</v>
      </c>
      <c r="D15" s="768" t="str">
        <f>"Objeto do CTEF: "&amp;Import.DescLote</f>
        <v>Objeto do CTEF: REFORMA DO PAÇO MUNICIPAL</v>
      </c>
      <c r="E15" s="768"/>
      <c r="F15" s="596"/>
      <c r="G15" s="597"/>
      <c r="H15" s="597" t="s">
        <v>351</v>
      </c>
      <c r="I15" s="598">
        <f>IF(OR(ACOMPANHAMENTO="PLE",TIPOORCAMENTO="Proposto"),0,ORÇAMENTO!$X$15)</f>
        <v>0</v>
      </c>
      <c r="J15" s="435">
        <f ca="1">IF(M$15=0,0,IF(RegimeExecucao="Global",M$15/$I$15*100,0))</f>
        <v>0</v>
      </c>
      <c r="K15" s="435">
        <f ca="1">L15-J15</f>
        <v>0</v>
      </c>
      <c r="L15" s="435">
        <f ca="1">IF(O$15=0,0,IF(RegimeExecucao="Global",O$15/$I$15*100,0))</f>
        <v>0</v>
      </c>
      <c r="M15" s="436">
        <f ca="1">IF(OR(ACOMPANHAMENTO="PLE",TIPOORCAMENTO="Proposto"),0,SUMIF(OFFSET($A15,1,0):$A$266,"S",OFFSET(M15,1,0):M$266))</f>
        <v>0</v>
      </c>
      <c r="N15" s="436">
        <f ca="1">O15-M15</f>
        <v>0</v>
      </c>
      <c r="O15" s="436">
        <f ca="1">IF(OR(ACOMPANHAMENTO="PLE",TIPOORCAMENTO="Proposto"),0,SUMIF(OFFSET($A15,1,0):$A$266,"S",OFFSET(O15,1,0):O$266))</f>
        <v>0</v>
      </c>
      <c r="Q15" s="437"/>
      <c r="R15" s="437"/>
      <c r="T15" s="438"/>
      <c r="U15" s="439"/>
      <c r="V15" s="439"/>
      <c r="W15" s="439"/>
      <c r="X15" s="439"/>
      <c r="Y15" s="439"/>
      <c r="Z15" s="440"/>
      <c r="AB15" s="764" t="str">
        <f ca="1">"Preencher abaixo com a "&amp;CHOOSE(MATCH(RegimeExecucao,{"Unitário","Global"},0),"QUANTIDADE","PORCENTAGEM")&amp;" executada no PERÍODO"</f>
        <v>Preencher abaixo com a QUANTIDADE executada no PERÍODO</v>
      </c>
      <c r="AC15" s="764"/>
      <c r="AD15" s="764"/>
      <c r="AE15" s="764"/>
      <c r="AF15" s="764"/>
      <c r="AG15" s="764"/>
      <c r="AH15" s="764"/>
      <c r="AI15" s="764"/>
      <c r="AJ15" s="764"/>
      <c r="AK15" s="764"/>
      <c r="AL15" s="764"/>
      <c r="AM15" s="764"/>
    </row>
    <row r="16" spans="1:41" x14ac:dyDescent="0.2">
      <c r="A16">
        <f ca="1">ORÇAMENTO!C16</f>
        <v>1</v>
      </c>
      <c r="B16">
        <f ca="1">ORÇAMENTO!D16</f>
        <v>250</v>
      </c>
      <c r="C16" s="143" t="str">
        <f t="shared" ref="C16:C79" ca="1" si="1">IF(OR($I16&gt;0,$A16=1,$A16=2,$A16=3,$A16=4),"F","")</f>
        <v>F</v>
      </c>
      <c r="D16" s="146" t="str">
        <f ca="1">ORÇAMENTO!O16</f>
        <v>1.</v>
      </c>
      <c r="E16" s="206" t="str">
        <f t="shared" ref="E16:E79" ca="1" si="2">ORÇAMENTO.Descricao</f>
        <v>(REFORMA DO PREDIO PREFEITURA MUNICIPAL</v>
      </c>
      <c r="F16" s="207" t="str">
        <f t="shared" ref="F16:F79" ca="1" si="3">IF(RegimeExecucao="Global","",ORÇAMENTO.Unidade)</f>
        <v>-</v>
      </c>
      <c r="G16" s="151">
        <f ca="1">IF(RegimeExecucao="Global","",ORÇAMENTO!T16)</f>
        <v>0</v>
      </c>
      <c r="H16" s="151">
        <f ca="1">IF(RegimeExecucao="Global","",ORÇAMENTO!W16)</f>
        <v>0</v>
      </c>
      <c r="I16" s="154">
        <f ca="1">ORÇAMENTO!X16</f>
        <v>192352.07</v>
      </c>
      <c r="J16" s="427">
        <f t="shared" ref="J16:J79" ca="1" si="4">IF($A16="S",IF(CAIXA.Modo,BM.AFAnterior,BM.MEDAnterior),IF(AND(RegimeExecucao="Global",$I16&gt;0,COUNTIF($AB$13:$AM$13,BM.medicao-1)&gt;0),M16/$I16*100,0))</f>
        <v>0</v>
      </c>
      <c r="K16" s="151">
        <f t="shared" ref="K16:K79" ca="1" si="5">L16-J16</f>
        <v>0</v>
      </c>
      <c r="L16" s="428">
        <f t="shared" ref="L16:L79" ca="1" si="6">IF($A16="S",IF(CAIXA.Modo,BM.AFAcumulado,BM.MEDAcumulado),IF(AND(RegimeExecucao="Global",$I16&gt;0,COUNTIF($AB$13:$AM$13,BM.medicao)&gt;0),O16/$I16*100,0))</f>
        <v>0</v>
      </c>
      <c r="M16" s="429">
        <f ca="1">IF($A16="S",VTOTALBM,IF($A16=0,0,ROUND(SomaAgrupBM,15-13*ORÇAMENTO!$AF$11)))</f>
        <v>0</v>
      </c>
      <c r="N16" s="430">
        <f t="shared" ref="N16:N79" ca="1" si="7">O16-M16</f>
        <v>0</v>
      </c>
      <c r="O16" s="154">
        <f ca="1">IF($A16="S",VTOTALBM,IF($A16=0,0,ROUND(SomaAgrupBM,15-13*ORÇAMENTO!$AF$11)))</f>
        <v>0</v>
      </c>
      <c r="Q16" s="431"/>
      <c r="R16" s="432"/>
      <c r="T16" s="146" t="str">
        <f t="shared" ref="T16:T79" ca="1" si="8">IF($W16&gt;0,$D16,"")</f>
        <v/>
      </c>
      <c r="U16" s="206" t="str">
        <f t="shared" ref="U16:U79" ca="1" si="9">IF($W16&gt;0,$E16,"")</f>
        <v/>
      </c>
      <c r="V16" s="207" t="str">
        <f t="shared" ref="V16:V79" ca="1" si="10">IF(AND($W16&gt;0,RegimeExecucao="Unitário"),$F16,"")</f>
        <v/>
      </c>
      <c r="W16" s="595">
        <f ca="1">IF($Y16&gt;0,CHOOSE(MATCH(RegimeExecucao,{"Unitário","Global"},0),IF($A16="S",$Y16/$X16,""),($Y16/$X16)*100),0)</f>
        <v>0</v>
      </c>
      <c r="X16" s="433" t="str">
        <f ca="1">IF($Y16&gt;0,CHOOSE(MATCH(RegimeExecucao,{"Unitário","Global"},0),IF($A16="S",ROUND($H16,ORÇAMENTO!$AF$10),""),ROUND($I16,ORÇAMENTO!$AF$11)),"")</f>
        <v/>
      </c>
      <c r="Y16" s="433">
        <f t="shared" ref="Y16:Y79" ca="1" si="11">AO16-O16</f>
        <v>0</v>
      </c>
      <c r="Z16" s="434"/>
      <c r="AB16" s="431"/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432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17</v>
      </c>
      <c r="C17" s="143" t="str">
        <f t="shared" ca="1" si="1"/>
        <v>F</v>
      </c>
      <c r="D17" s="146" t="str">
        <f ca="1">ORÇAMENTO!O17</f>
        <v>1.1.</v>
      </c>
      <c r="E17" s="206" t="str">
        <f t="shared" si="2"/>
        <v>SERVIÇOS PRELIMINARES</v>
      </c>
      <c r="F17" s="207" t="str">
        <f t="shared" ca="1" si="3"/>
        <v>-</v>
      </c>
      <c r="G17" s="151">
        <f ca="1">IF(RegimeExecucao="Global","",ORÇAMENTO!T17)</f>
        <v>0</v>
      </c>
      <c r="H17" s="151">
        <f ca="1">IF(RegimeExecucao="Global","",ORÇAMENTO!W17)</f>
        <v>0</v>
      </c>
      <c r="I17" s="154">
        <f ca="1">ORÇAMENTO!X17</f>
        <v>9562.61</v>
      </c>
      <c r="J17" s="427">
        <f t="shared" ca="1" si="4"/>
        <v>0</v>
      </c>
      <c r="K17" s="151">
        <f t="shared" ca="1" si="5"/>
        <v>0</v>
      </c>
      <c r="L17" s="428">
        <f t="shared" ca="1" si="6"/>
        <v>0</v>
      </c>
      <c r="M17" s="429">
        <f ca="1">IF($A17="S",VTOTALBM,IF($A17=0,0,ROUND(SomaAgrupBM,15-13*ORÇAMENTO!$AF$11)))</f>
        <v>0</v>
      </c>
      <c r="N17" s="430">
        <f t="shared" ca="1" si="7"/>
        <v>0</v>
      </c>
      <c r="O17" s="154">
        <f ca="1">IF($A17="S",VTOTALBM,IF($A17=0,0,ROUND(SomaAgrupBM,15-13*ORÇAMENTO!$AF$11)))</f>
        <v>0</v>
      </c>
      <c r="Q17" s="431"/>
      <c r="R17" s="432"/>
      <c r="T17" s="146" t="str">
        <f t="shared" ca="1" si="8"/>
        <v/>
      </c>
      <c r="U17" s="206" t="str">
        <f t="shared" ca="1" si="9"/>
        <v/>
      </c>
      <c r="V17" s="207" t="str">
        <f t="shared" ca="1" si="10"/>
        <v/>
      </c>
      <c r="W17" s="595">
        <f ca="1">IF($Y17&gt;0,CHOOSE(MATCH(RegimeExecucao,{"Unitário","Global"},0),IF($A17="S",$Y17/$X17,""),($Y17/$X17)*100),0)</f>
        <v>0</v>
      </c>
      <c r="X17" s="433" t="str">
        <f ca="1">IF($Y17&gt;0,CHOOSE(MATCH(RegimeExecucao,{"Unitário","Global"},0),IF($A17="S",ROUND($H17,ORÇAMENTO!$AF$10),""),ROUND($I17,ORÇAMENTO!$AF$11)),"")</f>
        <v/>
      </c>
      <c r="Y17" s="433">
        <f t="shared" ca="1" si="11"/>
        <v>0</v>
      </c>
      <c r="Z17" s="434"/>
      <c r="AB17" s="431"/>
      <c r="AC17" s="569"/>
      <c r="AD17" s="569"/>
      <c r="AE17" s="569"/>
      <c r="AF17" s="569"/>
      <c r="AG17" s="569"/>
      <c r="AH17" s="569"/>
      <c r="AI17" s="569"/>
      <c r="AJ17" s="569"/>
      <c r="AK17" s="569"/>
      <c r="AL17" s="569"/>
      <c r="AM17" s="432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 t="str">
        <f ca="1">ORÇAMENTO!C18</f>
        <v>S</v>
      </c>
      <c r="B18">
        <f ca="1">ORÇAMENTO!D18</f>
        <v>0</v>
      </c>
      <c r="C18" s="143" t="str">
        <f t="shared" ca="1" si="1"/>
        <v/>
      </c>
      <c r="D18" s="146" t="str">
        <f ca="1">ORÇAMENTO!O18</f>
        <v>-</v>
      </c>
      <c r="E18" s="206" t="str">
        <f t="shared" ca="1" si="2"/>
        <v>(abra o arquivo 'Referência 05-2023.xls)</v>
      </c>
      <c r="F18" s="207" t="str">
        <f t="shared" ca="1" si="3"/>
        <v>-</v>
      </c>
      <c r="G18" s="151">
        <f ca="1">IF(RegimeExecucao="Global","",ORÇAMENTO!T18)</f>
        <v>0</v>
      </c>
      <c r="H18" s="151">
        <f ca="1">IF(RegimeExecucao="Global","",ORÇAMENTO!W18)</f>
        <v>0</v>
      </c>
      <c r="I18" s="154">
        <f ca="1">ORÇAMENTO!X18</f>
        <v>0</v>
      </c>
      <c r="J18" s="427">
        <f t="shared" ca="1" si="4"/>
        <v>0</v>
      </c>
      <c r="K18" s="151">
        <f t="shared" ca="1" si="5"/>
        <v>0</v>
      </c>
      <c r="L18" s="428">
        <f t="shared" ca="1" si="6"/>
        <v>0</v>
      </c>
      <c r="M18" s="429">
        <f ca="1">IF($A18="S",VTOTALBM,IF($A18=0,0,ROUND(SomaAgrupBM,15-13*ORÇAMENTO!$AF$11)))</f>
        <v>0</v>
      </c>
      <c r="N18" s="430">
        <f t="shared" ca="1" si="7"/>
        <v>0</v>
      </c>
      <c r="O18" s="154">
        <f ca="1">IF($A18="S",VTOTALBM,IF($A18=0,0,ROUND(SomaAgrupBM,15-13*ORÇAMENTO!$AF$11)))</f>
        <v>0</v>
      </c>
      <c r="Q18" s="431"/>
      <c r="R18" s="432"/>
      <c r="T18" s="146" t="str">
        <f t="shared" ca="1" si="8"/>
        <v/>
      </c>
      <c r="U18" s="206" t="str">
        <f t="shared" ca="1" si="9"/>
        <v/>
      </c>
      <c r="V18" s="207" t="str">
        <f t="shared" ca="1" si="10"/>
        <v/>
      </c>
      <c r="W18" s="595">
        <f ca="1">IF($Y18&gt;0,CHOOSE(MATCH(RegimeExecucao,{"Unitário","Global"},0),IF($A18="S",$Y18/$X18,""),($Y18/$X18)*100),0)</f>
        <v>0</v>
      </c>
      <c r="X18" s="433" t="str">
        <f ca="1">IF($Y18&gt;0,CHOOSE(MATCH(RegimeExecucao,{"Unitário","Global"},0),IF($A18="S",ROUND($H18,ORÇAMENTO!$AF$10),""),ROUND($I18,ORÇAMENTO!$AF$11)),"")</f>
        <v/>
      </c>
      <c r="Y18" s="433">
        <f t="shared" ca="1" si="11"/>
        <v>0</v>
      </c>
      <c r="Z18" s="434"/>
      <c r="AB18" s="431"/>
      <c r="AC18" s="569"/>
      <c r="AD18" s="569"/>
      <c r="AE18" s="569"/>
      <c r="AF18" s="569"/>
      <c r="AG18" s="569"/>
      <c r="AH18" s="569"/>
      <c r="AI18" s="569"/>
      <c r="AJ18" s="569"/>
      <c r="AK18" s="569"/>
      <c r="AL18" s="569"/>
      <c r="AM18" s="432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43" t="str">
        <f t="shared" ca="1" si="1"/>
        <v/>
      </c>
      <c r="D19" s="146" t="str">
        <f ca="1">ORÇAMENTO!O19</f>
        <v>-</v>
      </c>
      <c r="E19" s="206" t="str">
        <f t="shared" ca="1" si="2"/>
        <v>(abra o arquivo 'Referência 05-2023.xls)</v>
      </c>
      <c r="F19" s="207" t="str">
        <f t="shared" ca="1" si="3"/>
        <v>-</v>
      </c>
      <c r="G19" s="151">
        <f ca="1">IF(RegimeExecucao="Global","",ORÇAMENTO!T19)</f>
        <v>0</v>
      </c>
      <c r="H19" s="151">
        <f ca="1">IF(RegimeExecucao="Global","",ORÇAMENTO!W19)</f>
        <v>0</v>
      </c>
      <c r="I19" s="154">
        <f ca="1">ORÇAMENTO!X19</f>
        <v>0</v>
      </c>
      <c r="J19" s="427">
        <f t="shared" ca="1" si="4"/>
        <v>0</v>
      </c>
      <c r="K19" s="151">
        <f t="shared" ca="1" si="5"/>
        <v>0</v>
      </c>
      <c r="L19" s="428">
        <f t="shared" ca="1" si="6"/>
        <v>0</v>
      </c>
      <c r="M19" s="429">
        <f ca="1">IF($A19="S",VTOTALBM,IF($A19=0,0,ROUND(SomaAgrupBM,15-13*ORÇAMENTO!$AF$11)))</f>
        <v>0</v>
      </c>
      <c r="N19" s="430">
        <f t="shared" ca="1" si="7"/>
        <v>0</v>
      </c>
      <c r="O19" s="154">
        <f ca="1">IF($A19="S",VTOTALBM,IF($A19=0,0,ROUND(SomaAgrupBM,15-13*ORÇAMENTO!$AF$11)))</f>
        <v>0</v>
      </c>
      <c r="Q19" s="431"/>
      <c r="R19" s="432"/>
      <c r="T19" s="146" t="str">
        <f t="shared" ca="1" si="8"/>
        <v/>
      </c>
      <c r="U19" s="206" t="str">
        <f t="shared" ca="1" si="9"/>
        <v/>
      </c>
      <c r="V19" s="207" t="str">
        <f t="shared" ca="1" si="10"/>
        <v/>
      </c>
      <c r="W19" s="595">
        <f ca="1">IF($Y19&gt;0,CHOOSE(MATCH(RegimeExecucao,{"Unitário","Global"},0),IF($A19="S",$Y19/$X19,""),($Y19/$X19)*100),0)</f>
        <v>0</v>
      </c>
      <c r="X19" s="433" t="str">
        <f ca="1">IF($Y19&gt;0,CHOOSE(MATCH(RegimeExecucao,{"Unitário","Global"},0),IF($A19="S",ROUND($H19,ORÇAMENTO!$AF$10),""),ROUND($I19,ORÇAMENTO!$AF$11)),"")</f>
        <v/>
      </c>
      <c r="Y19" s="433">
        <f t="shared" ca="1" si="11"/>
        <v>0</v>
      </c>
      <c r="Z19" s="434"/>
      <c r="AB19" s="431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432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3" t="str">
        <f t="shared" ca="1" si="1"/>
        <v/>
      </c>
      <c r="D20" s="146" t="str">
        <f ca="1">ORÇAMENTO!O20</f>
        <v>-</v>
      </c>
      <c r="E20" s="206" t="str">
        <f t="shared" ca="1" si="2"/>
        <v>(abra o arquivo 'Referência 05-2023.xls)</v>
      </c>
      <c r="F20" s="207" t="str">
        <f t="shared" ca="1" si="3"/>
        <v>-</v>
      </c>
      <c r="G20" s="151">
        <f ca="1">IF(RegimeExecucao="Global","",ORÇAMENTO!T20)</f>
        <v>0</v>
      </c>
      <c r="H20" s="151">
        <f ca="1">IF(RegimeExecucao="Global","",ORÇAMENTO!W20)</f>
        <v>0</v>
      </c>
      <c r="I20" s="154">
        <f ca="1">ORÇAMENTO!X20</f>
        <v>0</v>
      </c>
      <c r="J20" s="427">
        <f t="shared" ca="1" si="4"/>
        <v>0</v>
      </c>
      <c r="K20" s="151">
        <f t="shared" ca="1" si="5"/>
        <v>0</v>
      </c>
      <c r="L20" s="428">
        <f t="shared" ca="1" si="6"/>
        <v>0</v>
      </c>
      <c r="M20" s="429">
        <f ca="1">IF($A20="S",VTOTALBM,IF($A20=0,0,ROUND(SomaAgrupBM,15-13*ORÇAMENTO!$AF$11)))</f>
        <v>0</v>
      </c>
      <c r="N20" s="430">
        <f t="shared" ca="1" si="7"/>
        <v>0</v>
      </c>
      <c r="O20" s="154">
        <f ca="1">IF($A20="S",VTOTALBM,IF($A20=0,0,ROUND(SomaAgrupBM,15-13*ORÇAMENTO!$AF$11)))</f>
        <v>0</v>
      </c>
      <c r="Q20" s="431"/>
      <c r="R20" s="432"/>
      <c r="T20" s="146" t="str">
        <f t="shared" ca="1" si="8"/>
        <v/>
      </c>
      <c r="U20" s="206" t="str">
        <f t="shared" ca="1" si="9"/>
        <v/>
      </c>
      <c r="V20" s="207" t="str">
        <f t="shared" ca="1" si="10"/>
        <v/>
      </c>
      <c r="W20" s="595">
        <f ca="1">IF($Y20&gt;0,CHOOSE(MATCH(RegimeExecucao,{"Unitário","Global"},0),IF($A20="S",$Y20/$X20,""),($Y20/$X20)*100),0)</f>
        <v>0</v>
      </c>
      <c r="X20" s="433" t="str">
        <f ca="1">IF($Y20&gt;0,CHOOSE(MATCH(RegimeExecucao,{"Unitário","Global"},0),IF($A20="S",ROUND($H20,ORÇAMENTO!$AF$10),""),ROUND($I20,ORÇAMENTO!$AF$11)),"")</f>
        <v/>
      </c>
      <c r="Y20" s="433">
        <f t="shared" ca="1" si="11"/>
        <v>0</v>
      </c>
      <c r="Z20" s="434"/>
      <c r="AB20" s="431"/>
      <c r="AC20" s="569"/>
      <c r="AD20" s="569"/>
      <c r="AE20" s="569"/>
      <c r="AF20" s="569"/>
      <c r="AG20" s="569"/>
      <c r="AH20" s="569"/>
      <c r="AI20" s="569"/>
      <c r="AJ20" s="569"/>
      <c r="AK20" s="569"/>
      <c r="AL20" s="569"/>
      <c r="AM20" s="432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43" t="str">
        <f t="shared" ca="1" si="1"/>
        <v>F</v>
      </c>
      <c r="D21" s="146" t="str">
        <f ca="1">ORÇAMENTO!O21</f>
        <v>1.1.1.</v>
      </c>
      <c r="E21" s="206" t="str">
        <f t="shared" ca="1" si="2"/>
        <v>(abra o arquivo 'Referência 05-2023.xls)</v>
      </c>
      <c r="F21" s="207" t="str">
        <f t="shared" ca="1" si="3"/>
        <v>-</v>
      </c>
      <c r="G21" s="151">
        <f ca="1">IF(RegimeExecucao="Global","",ORÇAMENTO!T21)</f>
        <v>195</v>
      </c>
      <c r="H21" s="151">
        <f ca="1">IF(RegimeExecucao="Global","",ORÇAMENTO!W21)</f>
        <v>47.76</v>
      </c>
      <c r="I21" s="154">
        <f ca="1">ORÇAMENTO!X21</f>
        <v>9313.2000000000007</v>
      </c>
      <c r="J21" s="427">
        <f t="shared" ca="1" si="4"/>
        <v>0</v>
      </c>
      <c r="K21" s="151">
        <f t="shared" ca="1" si="5"/>
        <v>0</v>
      </c>
      <c r="L21" s="428">
        <f t="shared" ca="1" si="6"/>
        <v>0</v>
      </c>
      <c r="M21" s="429">
        <f ca="1">IF($A21="S",VTOTALBM,IF($A21=0,0,ROUND(SomaAgrupBM,15-13*ORÇAMENTO!$AF$11)))</f>
        <v>0</v>
      </c>
      <c r="N21" s="430">
        <f t="shared" ca="1" si="7"/>
        <v>0</v>
      </c>
      <c r="O21" s="154">
        <f ca="1">IF($A21="S",VTOTALBM,IF($A21=0,0,ROUND(SomaAgrupBM,15-13*ORÇAMENTO!$AF$11)))</f>
        <v>0</v>
      </c>
      <c r="Q21" s="431"/>
      <c r="R21" s="432"/>
      <c r="T21" s="146" t="str">
        <f t="shared" ca="1" si="8"/>
        <v/>
      </c>
      <c r="U21" s="206" t="str">
        <f t="shared" ca="1" si="9"/>
        <v/>
      </c>
      <c r="V21" s="207" t="str">
        <f t="shared" ca="1" si="10"/>
        <v/>
      </c>
      <c r="W21" s="595">
        <f ca="1">IF($Y21&gt;0,CHOOSE(MATCH(RegimeExecucao,{"Unitário","Global"},0),IF($A21="S",$Y21/$X21,""),($Y21/$X21)*100),0)</f>
        <v>0</v>
      </c>
      <c r="X21" s="433" t="str">
        <f ca="1">IF($Y21&gt;0,CHOOSE(MATCH(RegimeExecucao,{"Unitário","Global"},0),IF($A21="S",ROUND($H21,ORÇAMENTO!$AF$10),""),ROUND($I21,ORÇAMENTO!$AF$11)),"")</f>
        <v/>
      </c>
      <c r="Y21" s="433">
        <f t="shared" ca="1" si="11"/>
        <v>0</v>
      </c>
      <c r="Z21" s="434"/>
      <c r="AB21" s="431"/>
      <c r="AC21" s="569"/>
      <c r="AD21" s="569"/>
      <c r="AE21" s="569"/>
      <c r="AF21" s="569"/>
      <c r="AG21" s="569"/>
      <c r="AH21" s="569"/>
      <c r="AI21" s="569"/>
      <c r="AJ21" s="569"/>
      <c r="AK21" s="569"/>
      <c r="AL21" s="569"/>
      <c r="AM21" s="432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 t="str">
        <f ca="1">ORÇAMENTO!C22</f>
        <v>S</v>
      </c>
      <c r="B22">
        <f ca="1">ORÇAMENTO!D22</f>
        <v>0</v>
      </c>
      <c r="C22" s="143" t="str">
        <f t="shared" ca="1" si="1"/>
        <v>F</v>
      </c>
      <c r="D22" s="146" t="str">
        <f ca="1">ORÇAMENTO!O22</f>
        <v>1.1.2.</v>
      </c>
      <c r="E22" s="206" t="str">
        <f t="shared" ca="1" si="2"/>
        <v>(abra o arquivo 'Referência 05-2023.xls)</v>
      </c>
      <c r="F22" s="207" t="str">
        <f t="shared" ca="1" si="3"/>
        <v>-</v>
      </c>
      <c r="G22" s="151">
        <f ca="1">IF(RegimeExecucao="Global","",ORÇAMENTO!T22)</f>
        <v>16.100000000000001</v>
      </c>
      <c r="H22" s="151">
        <f ca="1">IF(RegimeExecucao="Global","",ORÇAMENTO!W22)</f>
        <v>13.45</v>
      </c>
      <c r="I22" s="154">
        <f ca="1">ORÇAMENTO!X22</f>
        <v>216.55</v>
      </c>
      <c r="J22" s="427">
        <f t="shared" ca="1" si="4"/>
        <v>0</v>
      </c>
      <c r="K22" s="151">
        <f t="shared" ca="1" si="5"/>
        <v>0</v>
      </c>
      <c r="L22" s="428">
        <f t="shared" ca="1" si="6"/>
        <v>0</v>
      </c>
      <c r="M22" s="429">
        <f ca="1">IF($A22="S",VTOTALBM,IF($A22=0,0,ROUND(SomaAgrupBM,15-13*ORÇAMENTO!$AF$11)))</f>
        <v>0</v>
      </c>
      <c r="N22" s="430">
        <f t="shared" ca="1" si="7"/>
        <v>0</v>
      </c>
      <c r="O22" s="154">
        <f ca="1">IF($A22="S",VTOTALBM,IF($A22=0,0,ROUND(SomaAgrupBM,15-13*ORÇAMENTO!$AF$11)))</f>
        <v>0</v>
      </c>
      <c r="Q22" s="431"/>
      <c r="R22" s="432"/>
      <c r="T22" s="146" t="str">
        <f t="shared" ca="1" si="8"/>
        <v/>
      </c>
      <c r="U22" s="206" t="str">
        <f t="shared" ca="1" si="9"/>
        <v/>
      </c>
      <c r="V22" s="207" t="str">
        <f t="shared" ca="1" si="10"/>
        <v/>
      </c>
      <c r="W22" s="595">
        <f ca="1">IF($Y22&gt;0,CHOOSE(MATCH(RegimeExecucao,{"Unitário","Global"},0),IF($A22="S",$Y22/$X22,""),($Y22/$X22)*100),0)</f>
        <v>0</v>
      </c>
      <c r="X22" s="433" t="str">
        <f ca="1">IF($Y22&gt;0,CHOOSE(MATCH(RegimeExecucao,{"Unitário","Global"},0),IF($A22="S",ROUND($H22,ORÇAMENTO!$AF$10),""),ROUND($I22,ORÇAMENTO!$AF$11)),"")</f>
        <v/>
      </c>
      <c r="Y22" s="433">
        <f t="shared" ca="1" si="11"/>
        <v>0</v>
      </c>
      <c r="Z22" s="434"/>
      <c r="AB22" s="431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432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43" t="str">
        <f t="shared" ca="1" si="1"/>
        <v>F</v>
      </c>
      <c r="D23" s="146" t="str">
        <f ca="1">ORÇAMENTO!O23</f>
        <v>1.1.3.</v>
      </c>
      <c r="E23" s="206" t="str">
        <f t="shared" ca="1" si="2"/>
        <v>(abra o arquivo 'Referência 05-2023.xls)</v>
      </c>
      <c r="F23" s="207" t="str">
        <f t="shared" ca="1" si="3"/>
        <v>-</v>
      </c>
      <c r="G23" s="151">
        <f ca="1">IF(RegimeExecucao="Global","",ORÇAMENTO!T23)</f>
        <v>0.4</v>
      </c>
      <c r="H23" s="151">
        <f ca="1">IF(RegimeExecucao="Global","",ORÇAMENTO!W23)</f>
        <v>82.14</v>
      </c>
      <c r="I23" s="154">
        <f ca="1">ORÇAMENTO!X23</f>
        <v>32.86</v>
      </c>
      <c r="J23" s="427">
        <f t="shared" ca="1" si="4"/>
        <v>0</v>
      </c>
      <c r="K23" s="151">
        <f t="shared" ca="1" si="5"/>
        <v>0</v>
      </c>
      <c r="L23" s="428">
        <f t="shared" ca="1" si="6"/>
        <v>0</v>
      </c>
      <c r="M23" s="429">
        <f ca="1">IF($A23="S",VTOTALBM,IF($A23=0,0,ROUND(SomaAgrupBM,15-13*ORÇAMENTO!$AF$11)))</f>
        <v>0</v>
      </c>
      <c r="N23" s="430">
        <f t="shared" ca="1" si="7"/>
        <v>0</v>
      </c>
      <c r="O23" s="154">
        <f ca="1">IF($A23="S",VTOTALBM,IF($A23=0,0,ROUND(SomaAgrupBM,15-13*ORÇAMENTO!$AF$11)))</f>
        <v>0</v>
      </c>
      <c r="Q23" s="431"/>
      <c r="R23" s="432"/>
      <c r="T23" s="146" t="str">
        <f t="shared" ca="1" si="8"/>
        <v/>
      </c>
      <c r="U23" s="206" t="str">
        <f t="shared" ca="1" si="9"/>
        <v/>
      </c>
      <c r="V23" s="207" t="str">
        <f t="shared" ca="1" si="10"/>
        <v/>
      </c>
      <c r="W23" s="595">
        <f ca="1">IF($Y23&gt;0,CHOOSE(MATCH(RegimeExecucao,{"Unitário","Global"},0),IF($A23="S",$Y23/$X23,""),($Y23/$X23)*100),0)</f>
        <v>0</v>
      </c>
      <c r="X23" s="433" t="str">
        <f ca="1">IF($Y23&gt;0,CHOOSE(MATCH(RegimeExecucao,{"Unitário","Global"},0),IF($A23="S",ROUND($H23,ORÇAMENTO!$AF$10),""),ROUND($I23,ORÇAMENTO!$AF$11)),"")</f>
        <v/>
      </c>
      <c r="Y23" s="433">
        <f t="shared" ca="1" si="11"/>
        <v>0</v>
      </c>
      <c r="Z23" s="434"/>
      <c r="AB23" s="431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432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3" t="str">
        <f t="shared" ca="1" si="1"/>
        <v/>
      </c>
      <c r="D24" s="146" t="str">
        <f ca="1">ORÇAMENTO!O24</f>
        <v>-</v>
      </c>
      <c r="E24" s="206" t="str">
        <f t="shared" ca="1" si="2"/>
        <v>(abra o arquivo 'Referência 05-2023.xls)</v>
      </c>
      <c r="F24" s="207" t="str">
        <f t="shared" ca="1" si="3"/>
        <v>-</v>
      </c>
      <c r="G24" s="151">
        <f ca="1">IF(RegimeExecucao="Global","",ORÇAMENTO!T24)</f>
        <v>0</v>
      </c>
      <c r="H24" s="151">
        <f ca="1">IF(RegimeExecucao="Global","",ORÇAMENTO!W24)</f>
        <v>0</v>
      </c>
      <c r="I24" s="154">
        <f ca="1">ORÇAMENTO!X24</f>
        <v>0</v>
      </c>
      <c r="J24" s="427">
        <f t="shared" ca="1" si="4"/>
        <v>0</v>
      </c>
      <c r="K24" s="151">
        <f t="shared" ca="1" si="5"/>
        <v>0</v>
      </c>
      <c r="L24" s="428">
        <f t="shared" ca="1" si="6"/>
        <v>0</v>
      </c>
      <c r="M24" s="429">
        <f ca="1">IF($A24="S",VTOTALBM,IF($A24=0,0,ROUND(SomaAgrupBM,15-13*ORÇAMENTO!$AF$11)))</f>
        <v>0</v>
      </c>
      <c r="N24" s="430">
        <f t="shared" ca="1" si="7"/>
        <v>0</v>
      </c>
      <c r="O24" s="154">
        <f ca="1">IF($A24="S",VTOTALBM,IF($A24=0,0,ROUND(SomaAgrupBM,15-13*ORÇAMENTO!$AF$11)))</f>
        <v>0</v>
      </c>
      <c r="Q24" s="431"/>
      <c r="R24" s="432"/>
      <c r="T24" s="146" t="str">
        <f t="shared" ca="1" si="8"/>
        <v/>
      </c>
      <c r="U24" s="206" t="str">
        <f t="shared" ca="1" si="9"/>
        <v/>
      </c>
      <c r="V24" s="207" t="str">
        <f t="shared" ca="1" si="10"/>
        <v/>
      </c>
      <c r="W24" s="595">
        <f ca="1">IF($Y24&gt;0,CHOOSE(MATCH(RegimeExecucao,{"Unitário","Global"},0),IF($A24="S",$Y24/$X24,""),($Y24/$X24)*100),0)</f>
        <v>0</v>
      </c>
      <c r="X24" s="433" t="str">
        <f ca="1">IF($Y24&gt;0,CHOOSE(MATCH(RegimeExecucao,{"Unitário","Global"},0),IF($A24="S",ROUND($H24,ORÇAMENTO!$AF$10),""),ROUND($I24,ORÇAMENTO!$AF$11)),"")</f>
        <v/>
      </c>
      <c r="Y24" s="433">
        <f t="shared" ca="1" si="11"/>
        <v>0</v>
      </c>
      <c r="Z24" s="434"/>
      <c r="AB24" s="431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432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3" t="str">
        <f t="shared" ca="1" si="1"/>
        <v/>
      </c>
      <c r="D25" s="146" t="str">
        <f ca="1">ORÇAMENTO!O25</f>
        <v>-</v>
      </c>
      <c r="E25" s="206" t="str">
        <f t="shared" ca="1" si="2"/>
        <v>(abra o arquivo 'Referência 05-2023.xls)</v>
      </c>
      <c r="F25" s="207" t="str">
        <f t="shared" ca="1" si="3"/>
        <v>-</v>
      </c>
      <c r="G25" s="151">
        <f ca="1">IF(RegimeExecucao="Global","",ORÇAMENTO!T25)</f>
        <v>0</v>
      </c>
      <c r="H25" s="151">
        <f ca="1">IF(RegimeExecucao="Global","",ORÇAMENTO!W25)</f>
        <v>0</v>
      </c>
      <c r="I25" s="154">
        <f ca="1">ORÇAMENTO!X25</f>
        <v>0</v>
      </c>
      <c r="J25" s="427">
        <f t="shared" ca="1" si="4"/>
        <v>0</v>
      </c>
      <c r="K25" s="151">
        <f t="shared" ca="1" si="5"/>
        <v>0</v>
      </c>
      <c r="L25" s="428">
        <f t="shared" ca="1" si="6"/>
        <v>0</v>
      </c>
      <c r="M25" s="429">
        <f ca="1">IF($A25="S",VTOTALBM,IF($A25=0,0,ROUND(SomaAgrupBM,15-13*ORÇAMENTO!$AF$11)))</f>
        <v>0</v>
      </c>
      <c r="N25" s="430">
        <f t="shared" ca="1" si="7"/>
        <v>0</v>
      </c>
      <c r="O25" s="154">
        <f ca="1">IF($A25="S",VTOTALBM,IF($A25=0,0,ROUND(SomaAgrupBM,15-13*ORÇAMENTO!$AF$11)))</f>
        <v>0</v>
      </c>
      <c r="Q25" s="431"/>
      <c r="R25" s="432"/>
      <c r="T25" s="146" t="str">
        <f t="shared" ca="1" si="8"/>
        <v/>
      </c>
      <c r="U25" s="206" t="str">
        <f t="shared" ca="1" si="9"/>
        <v/>
      </c>
      <c r="V25" s="207" t="str">
        <f t="shared" ca="1" si="10"/>
        <v/>
      </c>
      <c r="W25" s="595">
        <f ca="1">IF($Y25&gt;0,CHOOSE(MATCH(RegimeExecucao,{"Unitário","Global"},0),IF($A25="S",$Y25/$X25,""),($Y25/$X25)*100),0)</f>
        <v>0</v>
      </c>
      <c r="X25" s="433" t="str">
        <f ca="1">IF($Y25&gt;0,CHOOSE(MATCH(RegimeExecucao,{"Unitário","Global"},0),IF($A25="S",ROUND($H25,ORÇAMENTO!$AF$10),""),ROUND($I25,ORÇAMENTO!$AF$11)),"")</f>
        <v/>
      </c>
      <c r="Y25" s="433">
        <f t="shared" ca="1" si="11"/>
        <v>0</v>
      </c>
      <c r="Z25" s="434"/>
      <c r="AB25" s="431"/>
      <c r="AC25" s="569"/>
      <c r="AD25" s="569"/>
      <c r="AE25" s="569"/>
      <c r="AF25" s="569"/>
      <c r="AG25" s="569"/>
      <c r="AH25" s="569"/>
      <c r="AI25" s="569"/>
      <c r="AJ25" s="569"/>
      <c r="AK25" s="569"/>
      <c r="AL25" s="569"/>
      <c r="AM25" s="432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3" t="str">
        <f t="shared" ca="1" si="1"/>
        <v/>
      </c>
      <c r="D26" s="146" t="str">
        <f ca="1">ORÇAMENTO!O26</f>
        <v>-</v>
      </c>
      <c r="E26" s="206" t="str">
        <f t="shared" ca="1" si="2"/>
        <v>(abra o arquivo 'Referência 05-2023.xls)</v>
      </c>
      <c r="F26" s="207" t="str">
        <f t="shared" ca="1" si="3"/>
        <v>-</v>
      </c>
      <c r="G26" s="151">
        <f ca="1">IF(RegimeExecucao="Global","",ORÇAMENTO!T26)</f>
        <v>0</v>
      </c>
      <c r="H26" s="151">
        <f ca="1">IF(RegimeExecucao="Global","",ORÇAMENTO!W26)</f>
        <v>0</v>
      </c>
      <c r="I26" s="154">
        <f ca="1">ORÇAMENTO!X26</f>
        <v>0</v>
      </c>
      <c r="J26" s="427">
        <f t="shared" ca="1" si="4"/>
        <v>0</v>
      </c>
      <c r="K26" s="151">
        <f t="shared" ca="1" si="5"/>
        <v>0</v>
      </c>
      <c r="L26" s="428">
        <f t="shared" ca="1" si="6"/>
        <v>0</v>
      </c>
      <c r="M26" s="429">
        <f ca="1">IF($A26="S",VTOTALBM,IF($A26=0,0,ROUND(SomaAgrupBM,15-13*ORÇAMENTO!$AF$11)))</f>
        <v>0</v>
      </c>
      <c r="N26" s="430">
        <f t="shared" ca="1" si="7"/>
        <v>0</v>
      </c>
      <c r="O26" s="154">
        <f ca="1">IF($A26="S",VTOTALBM,IF($A26=0,0,ROUND(SomaAgrupBM,15-13*ORÇAMENTO!$AF$11)))</f>
        <v>0</v>
      </c>
      <c r="Q26" s="431"/>
      <c r="R26" s="432"/>
      <c r="T26" s="146" t="str">
        <f t="shared" ca="1" si="8"/>
        <v/>
      </c>
      <c r="U26" s="206" t="str">
        <f t="shared" ca="1" si="9"/>
        <v/>
      </c>
      <c r="V26" s="207" t="str">
        <f t="shared" ca="1" si="10"/>
        <v/>
      </c>
      <c r="W26" s="595">
        <f ca="1">IF($Y26&gt;0,CHOOSE(MATCH(RegimeExecucao,{"Unitário","Global"},0),IF($A26="S",$Y26/$X26,""),($Y26/$X26)*100),0)</f>
        <v>0</v>
      </c>
      <c r="X26" s="433" t="str">
        <f ca="1">IF($Y26&gt;0,CHOOSE(MATCH(RegimeExecucao,{"Unitário","Global"},0),IF($A26="S",ROUND($H26,ORÇAMENTO!$AF$10),""),ROUND($I26,ORÇAMENTO!$AF$11)),"")</f>
        <v/>
      </c>
      <c r="Y26" s="433">
        <f t="shared" ca="1" si="11"/>
        <v>0</v>
      </c>
      <c r="Z26" s="434"/>
      <c r="AB26" s="431"/>
      <c r="AC26" s="569"/>
      <c r="AD26" s="569"/>
      <c r="AE26" s="569"/>
      <c r="AF26" s="569"/>
      <c r="AG26" s="569"/>
      <c r="AH26" s="569"/>
      <c r="AI26" s="569"/>
      <c r="AJ26" s="569"/>
      <c r="AK26" s="569"/>
      <c r="AL26" s="569"/>
      <c r="AM26" s="432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3" t="str">
        <f t="shared" ca="1" si="1"/>
        <v/>
      </c>
      <c r="D27" s="146" t="str">
        <f ca="1">ORÇAMENTO!O27</f>
        <v>-</v>
      </c>
      <c r="E27" s="206" t="str">
        <f t="shared" ca="1" si="2"/>
        <v>(abra o arquivo 'Referência 05-2023.xls)</v>
      </c>
      <c r="F27" s="207" t="str">
        <f t="shared" ca="1" si="3"/>
        <v>-</v>
      </c>
      <c r="G27" s="151">
        <f ca="1">IF(RegimeExecucao="Global","",ORÇAMENTO!T27)</f>
        <v>0</v>
      </c>
      <c r="H27" s="151">
        <f ca="1">IF(RegimeExecucao="Global","",ORÇAMENTO!W27)</f>
        <v>0</v>
      </c>
      <c r="I27" s="154">
        <f ca="1">ORÇAMENTO!X27</f>
        <v>0</v>
      </c>
      <c r="J27" s="427">
        <f t="shared" ca="1" si="4"/>
        <v>0</v>
      </c>
      <c r="K27" s="151">
        <f t="shared" ca="1" si="5"/>
        <v>0</v>
      </c>
      <c r="L27" s="428">
        <f t="shared" ca="1" si="6"/>
        <v>0</v>
      </c>
      <c r="M27" s="429">
        <f ca="1">IF($A27="S",VTOTALBM,IF($A27=0,0,ROUND(SomaAgrupBM,15-13*ORÇAMENTO!$AF$11)))</f>
        <v>0</v>
      </c>
      <c r="N27" s="430">
        <f t="shared" ca="1" si="7"/>
        <v>0</v>
      </c>
      <c r="O27" s="154">
        <f ca="1">IF($A27="S",VTOTALBM,IF($A27=0,0,ROUND(SomaAgrupBM,15-13*ORÇAMENTO!$AF$11)))</f>
        <v>0</v>
      </c>
      <c r="Q27" s="431"/>
      <c r="R27" s="432"/>
      <c r="T27" s="146" t="str">
        <f t="shared" ca="1" si="8"/>
        <v/>
      </c>
      <c r="U27" s="206" t="str">
        <f t="shared" ca="1" si="9"/>
        <v/>
      </c>
      <c r="V27" s="207" t="str">
        <f t="shared" ca="1" si="10"/>
        <v/>
      </c>
      <c r="W27" s="595">
        <f ca="1">IF($Y27&gt;0,CHOOSE(MATCH(RegimeExecucao,{"Unitário","Global"},0),IF($A27="S",$Y27/$X27,""),($Y27/$X27)*100),0)</f>
        <v>0</v>
      </c>
      <c r="X27" s="433" t="str">
        <f ca="1">IF($Y27&gt;0,CHOOSE(MATCH(RegimeExecucao,{"Unitário","Global"},0),IF($A27="S",ROUND($H27,ORÇAMENTO!$AF$10),""),ROUND($I27,ORÇAMENTO!$AF$11)),"")</f>
        <v/>
      </c>
      <c r="Y27" s="433">
        <f t="shared" ca="1" si="11"/>
        <v>0</v>
      </c>
      <c r="Z27" s="434"/>
      <c r="AB27" s="431"/>
      <c r="AC27" s="569"/>
      <c r="AD27" s="569"/>
      <c r="AE27" s="569"/>
      <c r="AF27" s="569"/>
      <c r="AG27" s="569"/>
      <c r="AH27" s="569"/>
      <c r="AI27" s="569"/>
      <c r="AJ27" s="569"/>
      <c r="AK27" s="569"/>
      <c r="AL27" s="569"/>
      <c r="AM27" s="432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3" t="str">
        <f t="shared" ca="1" si="1"/>
        <v/>
      </c>
      <c r="D28" s="146" t="str">
        <f ca="1">ORÇAMENTO!O28</f>
        <v>-</v>
      </c>
      <c r="E28" s="206" t="str">
        <f t="shared" ca="1" si="2"/>
        <v>(abra o arquivo 'Referência 05-2023.xls)</v>
      </c>
      <c r="F28" s="207" t="str">
        <f t="shared" ca="1" si="3"/>
        <v>-</v>
      </c>
      <c r="G28" s="151">
        <f ca="1">IF(RegimeExecucao="Global","",ORÇAMENTO!T28)</f>
        <v>0</v>
      </c>
      <c r="H28" s="151">
        <f ca="1">IF(RegimeExecucao="Global","",ORÇAMENTO!W28)</f>
        <v>0</v>
      </c>
      <c r="I28" s="154">
        <f ca="1">ORÇAMENTO!X28</f>
        <v>0</v>
      </c>
      <c r="J28" s="427">
        <f t="shared" ca="1" si="4"/>
        <v>0</v>
      </c>
      <c r="K28" s="151">
        <f t="shared" ca="1" si="5"/>
        <v>0</v>
      </c>
      <c r="L28" s="428">
        <f t="shared" ca="1" si="6"/>
        <v>0</v>
      </c>
      <c r="M28" s="429">
        <f ca="1">IF($A28="S",VTOTALBM,IF($A28=0,0,ROUND(SomaAgrupBM,15-13*ORÇAMENTO!$AF$11)))</f>
        <v>0</v>
      </c>
      <c r="N28" s="430">
        <f t="shared" ca="1" si="7"/>
        <v>0</v>
      </c>
      <c r="O28" s="154">
        <f ca="1">IF($A28="S",VTOTALBM,IF($A28=0,0,ROUND(SomaAgrupBM,15-13*ORÇAMENTO!$AF$11)))</f>
        <v>0</v>
      </c>
      <c r="Q28" s="431"/>
      <c r="R28" s="432"/>
      <c r="T28" s="146" t="str">
        <f t="shared" ca="1" si="8"/>
        <v/>
      </c>
      <c r="U28" s="206" t="str">
        <f t="shared" ca="1" si="9"/>
        <v/>
      </c>
      <c r="V28" s="207" t="str">
        <f t="shared" ca="1" si="10"/>
        <v/>
      </c>
      <c r="W28" s="595">
        <f ca="1">IF($Y28&gt;0,CHOOSE(MATCH(RegimeExecucao,{"Unitário","Global"},0),IF($A28="S",$Y28/$X28,""),($Y28/$X28)*100),0)</f>
        <v>0</v>
      </c>
      <c r="X28" s="433" t="str">
        <f ca="1">IF($Y28&gt;0,CHOOSE(MATCH(RegimeExecucao,{"Unitário","Global"},0),IF($A28="S",ROUND($H28,ORÇAMENTO!$AF$10),""),ROUND($I28,ORÇAMENTO!$AF$11)),"")</f>
        <v/>
      </c>
      <c r="Y28" s="433">
        <f t="shared" ca="1" si="11"/>
        <v>0</v>
      </c>
      <c r="Z28" s="434"/>
      <c r="AB28" s="431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432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3" t="str">
        <f t="shared" ca="1" si="1"/>
        <v/>
      </c>
      <c r="D29" s="146" t="str">
        <f ca="1">ORÇAMENTO!O29</f>
        <v>-</v>
      </c>
      <c r="E29" s="206" t="str">
        <f t="shared" ca="1" si="2"/>
        <v>(abra o arquivo 'Referência 05-2023.xls)</v>
      </c>
      <c r="F29" s="207" t="str">
        <f t="shared" ca="1" si="3"/>
        <v>-</v>
      </c>
      <c r="G29" s="151">
        <f ca="1">IF(RegimeExecucao="Global","",ORÇAMENTO!T29)</f>
        <v>0</v>
      </c>
      <c r="H29" s="151">
        <f ca="1">IF(RegimeExecucao="Global","",ORÇAMENTO!W29)</f>
        <v>0</v>
      </c>
      <c r="I29" s="154">
        <f ca="1">ORÇAMENTO!X29</f>
        <v>0</v>
      </c>
      <c r="J29" s="427">
        <f t="shared" ca="1" si="4"/>
        <v>0</v>
      </c>
      <c r="K29" s="151">
        <f t="shared" ca="1" si="5"/>
        <v>0</v>
      </c>
      <c r="L29" s="428">
        <f t="shared" ca="1" si="6"/>
        <v>0</v>
      </c>
      <c r="M29" s="429">
        <f ca="1">IF($A29="S",VTOTALBM,IF($A29=0,0,ROUND(SomaAgrupBM,15-13*ORÇAMENTO!$AF$11)))</f>
        <v>0</v>
      </c>
      <c r="N29" s="430">
        <f t="shared" ca="1" si="7"/>
        <v>0</v>
      </c>
      <c r="O29" s="154">
        <f ca="1">IF($A29="S",VTOTALBM,IF($A29=0,0,ROUND(SomaAgrupBM,15-13*ORÇAMENTO!$AF$11)))</f>
        <v>0</v>
      </c>
      <c r="Q29" s="431"/>
      <c r="R29" s="432"/>
      <c r="T29" s="146" t="str">
        <f t="shared" ca="1" si="8"/>
        <v/>
      </c>
      <c r="U29" s="206" t="str">
        <f t="shared" ca="1" si="9"/>
        <v/>
      </c>
      <c r="V29" s="207" t="str">
        <f t="shared" ca="1" si="10"/>
        <v/>
      </c>
      <c r="W29" s="595">
        <f ca="1">IF($Y29&gt;0,CHOOSE(MATCH(RegimeExecucao,{"Unitário","Global"},0),IF($A29="S",$Y29/$X29,""),($Y29/$X29)*100),0)</f>
        <v>0</v>
      </c>
      <c r="X29" s="433" t="str">
        <f ca="1">IF($Y29&gt;0,CHOOSE(MATCH(RegimeExecucao,{"Unitário","Global"},0),IF($A29="S",ROUND($H29,ORÇAMENTO!$AF$10),""),ROUND($I29,ORÇAMENTO!$AF$11)),"")</f>
        <v/>
      </c>
      <c r="Y29" s="433">
        <f t="shared" ca="1" si="11"/>
        <v>0</v>
      </c>
      <c r="Z29" s="434"/>
      <c r="AB29" s="431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432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3" t="str">
        <f t="shared" ca="1" si="1"/>
        <v/>
      </c>
      <c r="D30" s="146" t="str">
        <f ca="1">ORÇAMENTO!O30</f>
        <v>-</v>
      </c>
      <c r="E30" s="206" t="str">
        <f t="shared" ca="1" si="2"/>
        <v>(abra o arquivo 'Referência 05-2023.xls)</v>
      </c>
      <c r="F30" s="207" t="str">
        <f t="shared" ca="1" si="3"/>
        <v>-</v>
      </c>
      <c r="G30" s="151">
        <f ca="1">IF(RegimeExecucao="Global","",ORÇAMENTO!T30)</f>
        <v>0</v>
      </c>
      <c r="H30" s="151">
        <f ca="1">IF(RegimeExecucao="Global","",ORÇAMENTO!W30)</f>
        <v>0</v>
      </c>
      <c r="I30" s="154">
        <f ca="1">ORÇAMENTO!X30</f>
        <v>0</v>
      </c>
      <c r="J30" s="427">
        <f t="shared" ca="1" si="4"/>
        <v>0</v>
      </c>
      <c r="K30" s="151">
        <f t="shared" ca="1" si="5"/>
        <v>0</v>
      </c>
      <c r="L30" s="428">
        <f t="shared" ca="1" si="6"/>
        <v>0</v>
      </c>
      <c r="M30" s="429">
        <f ca="1">IF($A30="S",VTOTALBM,IF($A30=0,0,ROUND(SomaAgrupBM,15-13*ORÇAMENTO!$AF$11)))</f>
        <v>0</v>
      </c>
      <c r="N30" s="430">
        <f t="shared" ca="1" si="7"/>
        <v>0</v>
      </c>
      <c r="O30" s="154">
        <f ca="1">IF($A30="S",VTOTALBM,IF($A30=0,0,ROUND(SomaAgrupBM,15-13*ORÇAMENTO!$AF$11)))</f>
        <v>0</v>
      </c>
      <c r="Q30" s="431"/>
      <c r="R30" s="432"/>
      <c r="T30" s="146" t="str">
        <f t="shared" ca="1" si="8"/>
        <v/>
      </c>
      <c r="U30" s="206" t="str">
        <f t="shared" ca="1" si="9"/>
        <v/>
      </c>
      <c r="V30" s="207" t="str">
        <f t="shared" ca="1" si="10"/>
        <v/>
      </c>
      <c r="W30" s="595">
        <f ca="1">IF($Y30&gt;0,CHOOSE(MATCH(RegimeExecucao,{"Unitário","Global"},0),IF($A30="S",$Y30/$X30,""),($Y30/$X30)*100),0)</f>
        <v>0</v>
      </c>
      <c r="X30" s="433" t="str">
        <f ca="1">IF($Y30&gt;0,CHOOSE(MATCH(RegimeExecucao,{"Unitário","Global"},0),IF($A30="S",ROUND($H30,ORÇAMENTO!$AF$10),""),ROUND($I30,ORÇAMENTO!$AF$11)),"")</f>
        <v/>
      </c>
      <c r="Y30" s="433">
        <f t="shared" ca="1" si="11"/>
        <v>0</v>
      </c>
      <c r="Z30" s="434"/>
      <c r="AB30" s="431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432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3" t="str">
        <f t="shared" ca="1" si="1"/>
        <v/>
      </c>
      <c r="D31" s="146" t="str">
        <f ca="1">ORÇAMENTO!O31</f>
        <v>-</v>
      </c>
      <c r="E31" s="206" t="str">
        <f t="shared" ca="1" si="2"/>
        <v>(abra o arquivo 'Referência 05-2023.xls)</v>
      </c>
      <c r="F31" s="207" t="str">
        <f t="shared" ca="1" si="3"/>
        <v>-</v>
      </c>
      <c r="G31" s="151">
        <f ca="1">IF(RegimeExecucao="Global","",ORÇAMENTO!T31)</f>
        <v>0</v>
      </c>
      <c r="H31" s="151">
        <f ca="1">IF(RegimeExecucao="Global","",ORÇAMENTO!W31)</f>
        <v>0</v>
      </c>
      <c r="I31" s="154">
        <f ca="1">ORÇAMENTO!X31</f>
        <v>0</v>
      </c>
      <c r="J31" s="427">
        <f t="shared" ca="1" si="4"/>
        <v>0</v>
      </c>
      <c r="K31" s="151">
        <f t="shared" ca="1" si="5"/>
        <v>0</v>
      </c>
      <c r="L31" s="428">
        <f t="shared" ca="1" si="6"/>
        <v>0</v>
      </c>
      <c r="M31" s="429">
        <f ca="1">IF($A31="S",VTOTALBM,IF($A31=0,0,ROUND(SomaAgrupBM,15-13*ORÇAMENTO!$AF$11)))</f>
        <v>0</v>
      </c>
      <c r="N31" s="430">
        <f t="shared" ca="1" si="7"/>
        <v>0</v>
      </c>
      <c r="O31" s="154">
        <f ca="1">IF($A31="S",VTOTALBM,IF($A31=0,0,ROUND(SomaAgrupBM,15-13*ORÇAMENTO!$AF$11)))</f>
        <v>0</v>
      </c>
      <c r="Q31" s="431"/>
      <c r="R31" s="432"/>
      <c r="T31" s="146" t="str">
        <f t="shared" ca="1" si="8"/>
        <v/>
      </c>
      <c r="U31" s="206" t="str">
        <f t="shared" ca="1" si="9"/>
        <v/>
      </c>
      <c r="V31" s="207" t="str">
        <f t="shared" ca="1" si="10"/>
        <v/>
      </c>
      <c r="W31" s="595">
        <f ca="1">IF($Y31&gt;0,CHOOSE(MATCH(RegimeExecucao,{"Unitário","Global"},0),IF($A31="S",$Y31/$X31,""),($Y31/$X31)*100),0)</f>
        <v>0</v>
      </c>
      <c r="X31" s="433" t="str">
        <f ca="1">IF($Y31&gt;0,CHOOSE(MATCH(RegimeExecucao,{"Unitário","Global"},0),IF($A31="S",ROUND($H31,ORÇAMENTO!$AF$10),""),ROUND($I31,ORÇAMENTO!$AF$11)),"")</f>
        <v/>
      </c>
      <c r="Y31" s="433">
        <f t="shared" ca="1" si="11"/>
        <v>0</v>
      </c>
      <c r="Z31" s="434"/>
      <c r="AB31" s="431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432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3" t="str">
        <f t="shared" ca="1" si="1"/>
        <v/>
      </c>
      <c r="D32" s="146" t="str">
        <f ca="1">ORÇAMENTO!O32</f>
        <v>-</v>
      </c>
      <c r="E32" s="206" t="str">
        <f t="shared" ca="1" si="2"/>
        <v>(abra o arquivo 'Referência 05-2023.xls)</v>
      </c>
      <c r="F32" s="207" t="str">
        <f t="shared" ca="1" si="3"/>
        <v>-</v>
      </c>
      <c r="G32" s="151">
        <f ca="1">IF(RegimeExecucao="Global","",ORÇAMENTO!T32)</f>
        <v>0</v>
      </c>
      <c r="H32" s="151">
        <f ca="1">IF(RegimeExecucao="Global","",ORÇAMENTO!W32)</f>
        <v>0</v>
      </c>
      <c r="I32" s="154">
        <f ca="1">ORÇAMENTO!X32</f>
        <v>0</v>
      </c>
      <c r="J32" s="427">
        <f t="shared" ca="1" si="4"/>
        <v>0</v>
      </c>
      <c r="K32" s="151">
        <f t="shared" ca="1" si="5"/>
        <v>0</v>
      </c>
      <c r="L32" s="428">
        <f t="shared" ca="1" si="6"/>
        <v>0</v>
      </c>
      <c r="M32" s="429">
        <f ca="1">IF($A32="S",VTOTALBM,IF($A32=0,0,ROUND(SomaAgrupBM,15-13*ORÇAMENTO!$AF$11)))</f>
        <v>0</v>
      </c>
      <c r="N32" s="430">
        <f t="shared" ca="1" si="7"/>
        <v>0</v>
      </c>
      <c r="O32" s="154">
        <f ca="1">IF($A32="S",VTOTALBM,IF($A32=0,0,ROUND(SomaAgrupBM,15-13*ORÇAMENTO!$AF$11)))</f>
        <v>0</v>
      </c>
      <c r="Q32" s="431"/>
      <c r="R32" s="432"/>
      <c r="T32" s="146" t="str">
        <f t="shared" ca="1" si="8"/>
        <v/>
      </c>
      <c r="U32" s="206" t="str">
        <f t="shared" ca="1" si="9"/>
        <v/>
      </c>
      <c r="V32" s="207" t="str">
        <f t="shared" ca="1" si="10"/>
        <v/>
      </c>
      <c r="W32" s="595">
        <f ca="1">IF($Y32&gt;0,CHOOSE(MATCH(RegimeExecucao,{"Unitário","Global"},0),IF($A32="S",$Y32/$X32,""),($Y32/$X32)*100),0)</f>
        <v>0</v>
      </c>
      <c r="X32" s="433" t="str">
        <f ca="1">IF($Y32&gt;0,CHOOSE(MATCH(RegimeExecucao,{"Unitário","Global"},0),IF($A32="S",ROUND($H32,ORÇAMENTO!$AF$10),""),ROUND($I32,ORÇAMENTO!$AF$11)),"")</f>
        <v/>
      </c>
      <c r="Y32" s="433">
        <f t="shared" ca="1" si="11"/>
        <v>0</v>
      </c>
      <c r="Z32" s="434"/>
      <c r="AB32" s="431"/>
      <c r="AC32" s="569"/>
      <c r="AD32" s="569"/>
      <c r="AE32" s="569"/>
      <c r="AF32" s="569"/>
      <c r="AG32" s="569"/>
      <c r="AH32" s="569"/>
      <c r="AI32" s="569"/>
      <c r="AJ32" s="569"/>
      <c r="AK32" s="569"/>
      <c r="AL32" s="569"/>
      <c r="AM32" s="432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3" t="str">
        <f t="shared" ca="1" si="1"/>
        <v/>
      </c>
      <c r="D33" s="146" t="str">
        <f ca="1">ORÇAMENTO!O33</f>
        <v>-</v>
      </c>
      <c r="E33" s="206" t="str">
        <f t="shared" ca="1" si="2"/>
        <v>(abra o arquivo 'Referência 05-2023.xls)</v>
      </c>
      <c r="F33" s="207" t="str">
        <f t="shared" ca="1" si="3"/>
        <v>-</v>
      </c>
      <c r="G33" s="151">
        <f ca="1">IF(RegimeExecucao="Global","",ORÇAMENTO!T33)</f>
        <v>0</v>
      </c>
      <c r="H33" s="151">
        <f ca="1">IF(RegimeExecucao="Global","",ORÇAMENTO!W33)</f>
        <v>0</v>
      </c>
      <c r="I33" s="154">
        <f ca="1">ORÇAMENTO!X33</f>
        <v>0</v>
      </c>
      <c r="J33" s="427">
        <f t="shared" ca="1" si="4"/>
        <v>0</v>
      </c>
      <c r="K33" s="151">
        <f t="shared" ca="1" si="5"/>
        <v>0</v>
      </c>
      <c r="L33" s="428">
        <f t="shared" ca="1" si="6"/>
        <v>0</v>
      </c>
      <c r="M33" s="429">
        <f ca="1">IF($A33="S",VTOTALBM,IF($A33=0,0,ROUND(SomaAgrupBM,15-13*ORÇAMENTO!$AF$11)))</f>
        <v>0</v>
      </c>
      <c r="N33" s="430">
        <f t="shared" ca="1" si="7"/>
        <v>0</v>
      </c>
      <c r="O33" s="154">
        <f ca="1">IF($A33="S",VTOTALBM,IF($A33=0,0,ROUND(SomaAgrupBM,15-13*ORÇAMENTO!$AF$11)))</f>
        <v>0</v>
      </c>
      <c r="Q33" s="431"/>
      <c r="R33" s="432"/>
      <c r="T33" s="146" t="str">
        <f t="shared" ca="1" si="8"/>
        <v/>
      </c>
      <c r="U33" s="206" t="str">
        <f t="shared" ca="1" si="9"/>
        <v/>
      </c>
      <c r="V33" s="207" t="str">
        <f t="shared" ca="1" si="10"/>
        <v/>
      </c>
      <c r="W33" s="595">
        <f ca="1">IF($Y33&gt;0,CHOOSE(MATCH(RegimeExecucao,{"Unitário","Global"},0),IF($A33="S",$Y33/$X33,""),($Y33/$X33)*100),0)</f>
        <v>0</v>
      </c>
      <c r="X33" s="433" t="str">
        <f ca="1">IF($Y33&gt;0,CHOOSE(MATCH(RegimeExecucao,{"Unitário","Global"},0),IF($A33="S",ROUND($H33,ORÇAMENTO!$AF$10),""),ROUND($I33,ORÇAMENTO!$AF$11)),"")</f>
        <v/>
      </c>
      <c r="Y33" s="433">
        <f t="shared" ca="1" si="11"/>
        <v>0</v>
      </c>
      <c r="Z33" s="434"/>
      <c r="AB33" s="431"/>
      <c r="AC33" s="569"/>
      <c r="AD33" s="569"/>
      <c r="AE33" s="569"/>
      <c r="AF33" s="569"/>
      <c r="AG33" s="569"/>
      <c r="AH33" s="569"/>
      <c r="AI33" s="569"/>
      <c r="AJ33" s="569"/>
      <c r="AK33" s="569"/>
      <c r="AL33" s="569"/>
      <c r="AM33" s="432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>
        <f ca="1">ORÇAMENTO!C34</f>
        <v>2</v>
      </c>
      <c r="B34">
        <f ca="1">ORÇAMENTO!D34</f>
        <v>8</v>
      </c>
      <c r="C34" s="143" t="str">
        <f t="shared" ca="1" si="1"/>
        <v>F</v>
      </c>
      <c r="D34" s="146" t="str">
        <f ca="1">ORÇAMENTO!O34</f>
        <v>1.2.</v>
      </c>
      <c r="E34" s="206" t="str">
        <f t="shared" si="2"/>
        <v>ESQUADRIAS</v>
      </c>
      <c r="F34" s="207" t="str">
        <f t="shared" ca="1" si="3"/>
        <v>-</v>
      </c>
      <c r="G34" s="151">
        <f ca="1">IF(RegimeExecucao="Global","",ORÇAMENTO!T34)</f>
        <v>0</v>
      </c>
      <c r="H34" s="151">
        <f ca="1">IF(RegimeExecucao="Global","",ORÇAMENTO!W34)</f>
        <v>0</v>
      </c>
      <c r="I34" s="154">
        <f ca="1">ORÇAMENTO!X34</f>
        <v>160977.84</v>
      </c>
      <c r="J34" s="427">
        <f t="shared" ca="1" si="4"/>
        <v>0</v>
      </c>
      <c r="K34" s="151">
        <f t="shared" ca="1" si="5"/>
        <v>0</v>
      </c>
      <c r="L34" s="428">
        <f t="shared" ca="1" si="6"/>
        <v>0</v>
      </c>
      <c r="M34" s="429">
        <f ca="1">IF($A34="S",VTOTALBM,IF($A34=0,0,ROUND(SomaAgrupBM,15-13*ORÇAMENTO!$AF$11)))</f>
        <v>0</v>
      </c>
      <c r="N34" s="430">
        <f t="shared" ca="1" si="7"/>
        <v>0</v>
      </c>
      <c r="O34" s="154">
        <f ca="1">IF($A34="S",VTOTALBM,IF($A34=0,0,ROUND(SomaAgrupBM,15-13*ORÇAMENTO!$AF$11)))</f>
        <v>0</v>
      </c>
      <c r="Q34" s="431"/>
      <c r="R34" s="432"/>
      <c r="T34" s="146" t="str">
        <f t="shared" ca="1" si="8"/>
        <v/>
      </c>
      <c r="U34" s="206" t="str">
        <f t="shared" ca="1" si="9"/>
        <v/>
      </c>
      <c r="V34" s="207" t="str">
        <f t="shared" ca="1" si="10"/>
        <v/>
      </c>
      <c r="W34" s="595">
        <f ca="1">IF($Y34&gt;0,CHOOSE(MATCH(RegimeExecucao,{"Unitário","Global"},0),IF($A34="S",$Y34/$X34,""),($Y34/$X34)*100),0)</f>
        <v>0</v>
      </c>
      <c r="X34" s="433" t="str">
        <f ca="1">IF($Y34&gt;0,CHOOSE(MATCH(RegimeExecucao,{"Unitário","Global"},0),IF($A34="S",ROUND($H34,ORÇAMENTO!$AF$10),""),ROUND($I34,ORÇAMENTO!$AF$11)),"")</f>
        <v/>
      </c>
      <c r="Y34" s="433">
        <f t="shared" ca="1" si="11"/>
        <v>0</v>
      </c>
      <c r="Z34" s="434"/>
      <c r="AB34" s="431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432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3" t="str">
        <f t="shared" ca="1" si="1"/>
        <v>F</v>
      </c>
      <c r="D35" s="146" t="str">
        <f ca="1">ORÇAMENTO!O35</f>
        <v>1.2.1.</v>
      </c>
      <c r="E35" s="206" t="str">
        <f t="shared" ca="1" si="2"/>
        <v>(abra o arquivo 'Referência 05-2023.xls)</v>
      </c>
      <c r="F35" s="207" t="str">
        <f t="shared" ca="1" si="3"/>
        <v>-</v>
      </c>
      <c r="G35" s="151">
        <f ca="1">IF(RegimeExecucao="Global","",ORÇAMENTO!T35)</f>
        <v>195</v>
      </c>
      <c r="H35" s="151">
        <f ca="1">IF(RegimeExecucao="Global","",ORÇAMENTO!W35)</f>
        <v>670</v>
      </c>
      <c r="I35" s="154">
        <f ca="1">ORÇAMENTO!X35</f>
        <v>130650</v>
      </c>
      <c r="J35" s="427">
        <f t="shared" ca="1" si="4"/>
        <v>0</v>
      </c>
      <c r="K35" s="151">
        <f t="shared" ca="1" si="5"/>
        <v>0</v>
      </c>
      <c r="L35" s="428">
        <f t="shared" ca="1" si="6"/>
        <v>0</v>
      </c>
      <c r="M35" s="429">
        <f ca="1">IF($A35="S",VTOTALBM,IF($A35=0,0,ROUND(SomaAgrupBM,15-13*ORÇAMENTO!$AF$11)))</f>
        <v>0</v>
      </c>
      <c r="N35" s="430">
        <f t="shared" ca="1" si="7"/>
        <v>0</v>
      </c>
      <c r="O35" s="154">
        <f ca="1">IF($A35="S",VTOTALBM,IF($A35=0,0,ROUND(SomaAgrupBM,15-13*ORÇAMENTO!$AF$11)))</f>
        <v>0</v>
      </c>
      <c r="Q35" s="431"/>
      <c r="R35" s="432"/>
      <c r="T35" s="146" t="str">
        <f t="shared" ca="1" si="8"/>
        <v/>
      </c>
      <c r="U35" s="206" t="str">
        <f t="shared" ca="1" si="9"/>
        <v/>
      </c>
      <c r="V35" s="207" t="str">
        <f t="shared" ca="1" si="10"/>
        <v/>
      </c>
      <c r="W35" s="595">
        <f ca="1">IF($Y35&gt;0,CHOOSE(MATCH(RegimeExecucao,{"Unitário","Global"},0),IF($A35="S",$Y35/$X35,""),($Y35/$X35)*100),0)</f>
        <v>0</v>
      </c>
      <c r="X35" s="433" t="str">
        <f ca="1">IF($Y35&gt;0,CHOOSE(MATCH(RegimeExecucao,{"Unitário","Global"},0),IF($A35="S",ROUND($H35,ORÇAMENTO!$AF$10),""),ROUND($I35,ORÇAMENTO!$AF$11)),"")</f>
        <v/>
      </c>
      <c r="Y35" s="433">
        <f t="shared" ca="1" si="11"/>
        <v>0</v>
      </c>
      <c r="Z35" s="434"/>
      <c r="AB35" s="431"/>
      <c r="AC35" s="569"/>
      <c r="AD35" s="569"/>
      <c r="AE35" s="569"/>
      <c r="AF35" s="569"/>
      <c r="AG35" s="569"/>
      <c r="AH35" s="569"/>
      <c r="AI35" s="569"/>
      <c r="AJ35" s="569"/>
      <c r="AK35" s="569"/>
      <c r="AL35" s="569"/>
      <c r="AM35" s="432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3" t="str">
        <f t="shared" ca="1" si="1"/>
        <v>F</v>
      </c>
      <c r="D36" s="146" t="str">
        <f ca="1">ORÇAMENTO!O36</f>
        <v>1.2.2.</v>
      </c>
      <c r="E36" s="206" t="str">
        <f t="shared" ca="1" si="2"/>
        <v>(abra o arquivo 'Referência 05-2023.xls)</v>
      </c>
      <c r="F36" s="207" t="str">
        <f t="shared" ca="1" si="3"/>
        <v>-</v>
      </c>
      <c r="G36" s="151">
        <f ca="1">IF(RegimeExecucao="Global","",ORÇAMENTO!T36)</f>
        <v>15.08</v>
      </c>
      <c r="H36" s="151">
        <f ca="1">IF(RegimeExecucao="Global","",ORÇAMENTO!W36)</f>
        <v>1013.83</v>
      </c>
      <c r="I36" s="154">
        <f ca="1">ORÇAMENTO!X36</f>
        <v>15288.56</v>
      </c>
      <c r="J36" s="427">
        <f t="shared" ca="1" si="4"/>
        <v>0</v>
      </c>
      <c r="K36" s="151">
        <f t="shared" ca="1" si="5"/>
        <v>0</v>
      </c>
      <c r="L36" s="428">
        <f t="shared" ca="1" si="6"/>
        <v>0</v>
      </c>
      <c r="M36" s="429">
        <f ca="1">IF($A36="S",VTOTALBM,IF($A36=0,0,ROUND(SomaAgrupBM,15-13*ORÇAMENTO!$AF$11)))</f>
        <v>0</v>
      </c>
      <c r="N36" s="430">
        <f t="shared" ca="1" si="7"/>
        <v>0</v>
      </c>
      <c r="O36" s="154">
        <f ca="1">IF($A36="S",VTOTALBM,IF($A36=0,0,ROUND(SomaAgrupBM,15-13*ORÇAMENTO!$AF$11)))</f>
        <v>0</v>
      </c>
      <c r="Q36" s="431"/>
      <c r="R36" s="432"/>
      <c r="T36" s="146" t="str">
        <f t="shared" ca="1" si="8"/>
        <v/>
      </c>
      <c r="U36" s="206" t="str">
        <f t="shared" ca="1" si="9"/>
        <v/>
      </c>
      <c r="V36" s="207" t="str">
        <f t="shared" ca="1" si="10"/>
        <v/>
      </c>
      <c r="W36" s="595">
        <f ca="1">IF($Y36&gt;0,CHOOSE(MATCH(RegimeExecucao,{"Unitário","Global"},0),IF($A36="S",$Y36/$X36,""),($Y36/$X36)*100),0)</f>
        <v>0</v>
      </c>
      <c r="X36" s="433" t="str">
        <f ca="1">IF($Y36&gt;0,CHOOSE(MATCH(RegimeExecucao,{"Unitário","Global"},0),IF($A36="S",ROUND($H36,ORÇAMENTO!$AF$10),""),ROUND($I36,ORÇAMENTO!$AF$11)),"")</f>
        <v/>
      </c>
      <c r="Y36" s="433">
        <f t="shared" ca="1" si="11"/>
        <v>0</v>
      </c>
      <c r="Z36" s="434"/>
      <c r="AB36" s="431"/>
      <c r="AC36" s="569"/>
      <c r="AD36" s="569"/>
      <c r="AE36" s="569"/>
      <c r="AF36" s="569"/>
      <c r="AG36" s="569"/>
      <c r="AH36" s="569"/>
      <c r="AI36" s="569"/>
      <c r="AJ36" s="569"/>
      <c r="AK36" s="569"/>
      <c r="AL36" s="569"/>
      <c r="AM36" s="432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3" t="str">
        <f t="shared" ca="1" si="1"/>
        <v>F</v>
      </c>
      <c r="D37" s="146" t="str">
        <f ca="1">ORÇAMENTO!O37</f>
        <v>1.2.3.</v>
      </c>
      <c r="E37" s="206" t="str">
        <f t="shared" ca="1" si="2"/>
        <v>(abra o arquivo 'Referência 05-2023.xls)</v>
      </c>
      <c r="F37" s="207" t="str">
        <f t="shared" ca="1" si="3"/>
        <v>-</v>
      </c>
      <c r="G37" s="151">
        <f ca="1">IF(RegimeExecucao="Global","",ORÇAMENTO!T37)</f>
        <v>106</v>
      </c>
      <c r="H37" s="151">
        <f ca="1">IF(RegimeExecucao="Global","",ORÇAMENTO!W37)</f>
        <v>141.88</v>
      </c>
      <c r="I37" s="154">
        <f ca="1">ORÇAMENTO!X37</f>
        <v>15039.28</v>
      </c>
      <c r="J37" s="427">
        <f t="shared" ca="1" si="4"/>
        <v>0</v>
      </c>
      <c r="K37" s="151">
        <f t="shared" ca="1" si="5"/>
        <v>0</v>
      </c>
      <c r="L37" s="428">
        <f t="shared" ca="1" si="6"/>
        <v>0</v>
      </c>
      <c r="M37" s="429">
        <f ca="1">IF($A37="S",VTOTALBM,IF($A37=0,0,ROUND(SomaAgrupBM,15-13*ORÇAMENTO!$AF$11)))</f>
        <v>0</v>
      </c>
      <c r="N37" s="430">
        <f t="shared" ca="1" si="7"/>
        <v>0</v>
      </c>
      <c r="O37" s="154">
        <f ca="1">IF($A37="S",VTOTALBM,IF($A37=0,0,ROUND(SomaAgrupBM,15-13*ORÇAMENTO!$AF$11)))</f>
        <v>0</v>
      </c>
      <c r="Q37" s="431"/>
      <c r="R37" s="432"/>
      <c r="T37" s="146" t="str">
        <f t="shared" ca="1" si="8"/>
        <v/>
      </c>
      <c r="U37" s="206" t="str">
        <f t="shared" ca="1" si="9"/>
        <v/>
      </c>
      <c r="V37" s="207" t="str">
        <f t="shared" ca="1" si="10"/>
        <v/>
      </c>
      <c r="W37" s="595">
        <f ca="1">IF($Y37&gt;0,CHOOSE(MATCH(RegimeExecucao,{"Unitário","Global"},0),IF($A37="S",$Y37/$X37,""),($Y37/$X37)*100),0)</f>
        <v>0</v>
      </c>
      <c r="X37" s="433" t="str">
        <f ca="1">IF($Y37&gt;0,CHOOSE(MATCH(RegimeExecucao,{"Unitário","Global"},0),IF($A37="S",ROUND($H37,ORÇAMENTO!$AF$10),""),ROUND($I37,ORÇAMENTO!$AF$11)),"")</f>
        <v/>
      </c>
      <c r="Y37" s="433">
        <f t="shared" ca="1" si="11"/>
        <v>0</v>
      </c>
      <c r="Z37" s="434"/>
      <c r="AB37" s="431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432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3" t="str">
        <f t="shared" ca="1" si="1"/>
        <v/>
      </c>
      <c r="D38" s="146" t="str">
        <f ca="1">ORÇAMENTO!O38</f>
        <v>-</v>
      </c>
      <c r="E38" s="206" t="str">
        <f t="shared" ca="1" si="2"/>
        <v>(abra o arquivo 'Referência 05-2023.xls)</v>
      </c>
      <c r="F38" s="207" t="str">
        <f t="shared" ca="1" si="3"/>
        <v>-</v>
      </c>
      <c r="G38" s="151">
        <f ca="1">IF(RegimeExecucao="Global","",ORÇAMENTO!T38)</f>
        <v>0</v>
      </c>
      <c r="H38" s="151">
        <f ca="1">IF(RegimeExecucao="Global","",ORÇAMENTO!W38)</f>
        <v>0</v>
      </c>
      <c r="I38" s="154">
        <f ca="1">ORÇAMENTO!X38</f>
        <v>0</v>
      </c>
      <c r="J38" s="427">
        <f t="shared" ca="1" si="4"/>
        <v>0</v>
      </c>
      <c r="K38" s="151">
        <f t="shared" ca="1" si="5"/>
        <v>0</v>
      </c>
      <c r="L38" s="428">
        <f t="shared" ca="1" si="6"/>
        <v>0</v>
      </c>
      <c r="M38" s="429">
        <f ca="1">IF($A38="S",VTOTALBM,IF($A38=0,0,ROUND(SomaAgrupBM,15-13*ORÇAMENTO!$AF$11)))</f>
        <v>0</v>
      </c>
      <c r="N38" s="430">
        <f t="shared" ca="1" si="7"/>
        <v>0</v>
      </c>
      <c r="O38" s="154">
        <f ca="1">IF($A38="S",VTOTALBM,IF($A38=0,0,ROUND(SomaAgrupBM,15-13*ORÇAMENTO!$AF$11)))</f>
        <v>0</v>
      </c>
      <c r="Q38" s="431"/>
      <c r="R38" s="432"/>
      <c r="T38" s="146" t="str">
        <f t="shared" ca="1" si="8"/>
        <v/>
      </c>
      <c r="U38" s="206" t="str">
        <f t="shared" ca="1" si="9"/>
        <v/>
      </c>
      <c r="V38" s="207" t="str">
        <f t="shared" ca="1" si="10"/>
        <v/>
      </c>
      <c r="W38" s="595">
        <f ca="1">IF($Y38&gt;0,CHOOSE(MATCH(RegimeExecucao,{"Unitário","Global"},0),IF($A38="S",$Y38/$X38,""),($Y38/$X38)*100),0)</f>
        <v>0</v>
      </c>
      <c r="X38" s="433" t="str">
        <f ca="1">IF($Y38&gt;0,CHOOSE(MATCH(RegimeExecucao,{"Unitário","Global"},0),IF($A38="S",ROUND($H38,ORÇAMENTO!$AF$10),""),ROUND($I38,ORÇAMENTO!$AF$11)),"")</f>
        <v/>
      </c>
      <c r="Y38" s="433">
        <f t="shared" ca="1" si="11"/>
        <v>0</v>
      </c>
      <c r="Z38" s="434"/>
      <c r="AB38" s="431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432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3" t="str">
        <f t="shared" ca="1" si="1"/>
        <v/>
      </c>
      <c r="D39" s="146" t="str">
        <f ca="1">ORÇAMENTO!O39</f>
        <v>-</v>
      </c>
      <c r="E39" s="206" t="str">
        <f t="shared" ca="1" si="2"/>
        <v>(abra o arquivo 'Referência 05-2023.xls)</v>
      </c>
      <c r="F39" s="207" t="str">
        <f t="shared" ca="1" si="3"/>
        <v>-</v>
      </c>
      <c r="G39" s="151">
        <f ca="1">IF(RegimeExecucao="Global","",ORÇAMENTO!T39)</f>
        <v>0</v>
      </c>
      <c r="H39" s="151">
        <f ca="1">IF(RegimeExecucao="Global","",ORÇAMENTO!W39)</f>
        <v>0</v>
      </c>
      <c r="I39" s="154">
        <f ca="1">ORÇAMENTO!X39</f>
        <v>0</v>
      </c>
      <c r="J39" s="427">
        <f t="shared" ca="1" si="4"/>
        <v>0</v>
      </c>
      <c r="K39" s="151">
        <f t="shared" ca="1" si="5"/>
        <v>0</v>
      </c>
      <c r="L39" s="428">
        <f t="shared" ca="1" si="6"/>
        <v>0</v>
      </c>
      <c r="M39" s="429">
        <f ca="1">IF($A39="S",VTOTALBM,IF($A39=0,0,ROUND(SomaAgrupBM,15-13*ORÇAMENTO!$AF$11)))</f>
        <v>0</v>
      </c>
      <c r="N39" s="430">
        <f t="shared" ca="1" si="7"/>
        <v>0</v>
      </c>
      <c r="O39" s="154">
        <f ca="1">IF($A39="S",VTOTALBM,IF($A39=0,0,ROUND(SomaAgrupBM,15-13*ORÇAMENTO!$AF$11)))</f>
        <v>0</v>
      </c>
      <c r="Q39" s="431"/>
      <c r="R39" s="432"/>
      <c r="T39" s="146" t="str">
        <f t="shared" ca="1" si="8"/>
        <v/>
      </c>
      <c r="U39" s="206" t="str">
        <f t="shared" ca="1" si="9"/>
        <v/>
      </c>
      <c r="V39" s="207" t="str">
        <f t="shared" ca="1" si="10"/>
        <v/>
      </c>
      <c r="W39" s="595">
        <f ca="1">IF($Y39&gt;0,CHOOSE(MATCH(RegimeExecucao,{"Unitário","Global"},0),IF($A39="S",$Y39/$X39,""),($Y39/$X39)*100),0)</f>
        <v>0</v>
      </c>
      <c r="X39" s="433" t="str">
        <f ca="1">IF($Y39&gt;0,CHOOSE(MATCH(RegimeExecucao,{"Unitário","Global"},0),IF($A39="S",ROUND($H39,ORÇAMENTO!$AF$10),""),ROUND($I39,ORÇAMENTO!$AF$11)),"")</f>
        <v/>
      </c>
      <c r="Y39" s="433">
        <f t="shared" ca="1" si="11"/>
        <v>0</v>
      </c>
      <c r="Z39" s="434"/>
      <c r="AB39" s="431"/>
      <c r="AC39" s="569"/>
      <c r="AD39" s="569"/>
      <c r="AE39" s="569"/>
      <c r="AF39" s="569"/>
      <c r="AG39" s="569"/>
      <c r="AH39" s="569"/>
      <c r="AI39" s="569"/>
      <c r="AJ39" s="569"/>
      <c r="AK39" s="569"/>
      <c r="AL39" s="569"/>
      <c r="AM39" s="432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3" t="str">
        <f t="shared" ca="1" si="1"/>
        <v/>
      </c>
      <c r="D40" s="146" t="str">
        <f ca="1">ORÇAMENTO!O40</f>
        <v>-</v>
      </c>
      <c r="E40" s="206" t="str">
        <f t="shared" ca="1" si="2"/>
        <v>(abra o arquivo 'Referência 05-2023.xls)</v>
      </c>
      <c r="F40" s="207" t="str">
        <f t="shared" ca="1" si="3"/>
        <v>-</v>
      </c>
      <c r="G40" s="151">
        <f ca="1">IF(RegimeExecucao="Global","",ORÇAMENTO!T40)</f>
        <v>0</v>
      </c>
      <c r="H40" s="151">
        <f ca="1">IF(RegimeExecucao="Global","",ORÇAMENTO!W40)</f>
        <v>0</v>
      </c>
      <c r="I40" s="154">
        <f ca="1">ORÇAMENTO!X40</f>
        <v>0</v>
      </c>
      <c r="J40" s="427">
        <f t="shared" ca="1" si="4"/>
        <v>0</v>
      </c>
      <c r="K40" s="151">
        <f t="shared" ca="1" si="5"/>
        <v>0</v>
      </c>
      <c r="L40" s="428">
        <f t="shared" ca="1" si="6"/>
        <v>0</v>
      </c>
      <c r="M40" s="429">
        <f ca="1">IF($A40="S",VTOTALBM,IF($A40=0,0,ROUND(SomaAgrupBM,15-13*ORÇAMENTO!$AF$11)))</f>
        <v>0</v>
      </c>
      <c r="N40" s="430">
        <f t="shared" ca="1" si="7"/>
        <v>0</v>
      </c>
      <c r="O40" s="154">
        <f ca="1">IF($A40="S",VTOTALBM,IF($A40=0,0,ROUND(SomaAgrupBM,15-13*ORÇAMENTO!$AF$11)))</f>
        <v>0</v>
      </c>
      <c r="Q40" s="431"/>
      <c r="R40" s="432"/>
      <c r="T40" s="146" t="str">
        <f t="shared" ca="1" si="8"/>
        <v/>
      </c>
      <c r="U40" s="206" t="str">
        <f t="shared" ca="1" si="9"/>
        <v/>
      </c>
      <c r="V40" s="207" t="str">
        <f t="shared" ca="1" si="10"/>
        <v/>
      </c>
      <c r="W40" s="595">
        <f ca="1">IF($Y40&gt;0,CHOOSE(MATCH(RegimeExecucao,{"Unitário","Global"},0),IF($A40="S",$Y40/$X40,""),($Y40/$X40)*100),0)</f>
        <v>0</v>
      </c>
      <c r="X40" s="433" t="str">
        <f ca="1">IF($Y40&gt;0,CHOOSE(MATCH(RegimeExecucao,{"Unitário","Global"},0),IF($A40="S",ROUND($H40,ORÇAMENTO!$AF$10),""),ROUND($I40,ORÇAMENTO!$AF$11)),"")</f>
        <v/>
      </c>
      <c r="Y40" s="433">
        <f t="shared" ca="1" si="11"/>
        <v>0</v>
      </c>
      <c r="Z40" s="434"/>
      <c r="AB40" s="431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432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3" t="str">
        <f t="shared" ca="1" si="1"/>
        <v/>
      </c>
      <c r="D41" s="146" t="str">
        <f ca="1">ORÇAMENTO!O41</f>
        <v>-</v>
      </c>
      <c r="E41" s="206" t="str">
        <f t="shared" ca="1" si="2"/>
        <v>(abra o arquivo 'Referência 05-2023.xls)</v>
      </c>
      <c r="F41" s="207" t="str">
        <f t="shared" ca="1" si="3"/>
        <v>-</v>
      </c>
      <c r="G41" s="151">
        <f ca="1">IF(RegimeExecucao="Global","",ORÇAMENTO!T41)</f>
        <v>0</v>
      </c>
      <c r="H41" s="151">
        <f ca="1">IF(RegimeExecucao="Global","",ORÇAMENTO!W41)</f>
        <v>0</v>
      </c>
      <c r="I41" s="154">
        <f ca="1">ORÇAMENTO!X41</f>
        <v>0</v>
      </c>
      <c r="J41" s="427">
        <f t="shared" ca="1" si="4"/>
        <v>0</v>
      </c>
      <c r="K41" s="151">
        <f t="shared" ca="1" si="5"/>
        <v>0</v>
      </c>
      <c r="L41" s="428">
        <f t="shared" ca="1" si="6"/>
        <v>0</v>
      </c>
      <c r="M41" s="429">
        <f ca="1">IF($A41="S",VTOTALBM,IF($A41=0,0,ROUND(SomaAgrupBM,15-13*ORÇAMENTO!$AF$11)))</f>
        <v>0</v>
      </c>
      <c r="N41" s="430">
        <f t="shared" ca="1" si="7"/>
        <v>0</v>
      </c>
      <c r="O41" s="154">
        <f ca="1">IF($A41="S",VTOTALBM,IF($A41=0,0,ROUND(SomaAgrupBM,15-13*ORÇAMENTO!$AF$11)))</f>
        <v>0</v>
      </c>
      <c r="Q41" s="431"/>
      <c r="R41" s="432"/>
      <c r="T41" s="146" t="str">
        <f t="shared" ca="1" si="8"/>
        <v/>
      </c>
      <c r="U41" s="206" t="str">
        <f t="shared" ca="1" si="9"/>
        <v/>
      </c>
      <c r="V41" s="207" t="str">
        <f t="shared" ca="1" si="10"/>
        <v/>
      </c>
      <c r="W41" s="595">
        <f ca="1">IF($Y41&gt;0,CHOOSE(MATCH(RegimeExecucao,{"Unitário","Global"},0),IF($A41="S",$Y41/$X41,""),($Y41/$X41)*100),0)</f>
        <v>0</v>
      </c>
      <c r="X41" s="433" t="str">
        <f ca="1">IF($Y41&gt;0,CHOOSE(MATCH(RegimeExecucao,{"Unitário","Global"},0),IF($A41="S",ROUND($H41,ORÇAMENTO!$AF$10),""),ROUND($I41,ORÇAMENTO!$AF$11)),"")</f>
        <v/>
      </c>
      <c r="Y41" s="433">
        <f t="shared" ca="1" si="11"/>
        <v>0</v>
      </c>
      <c r="Z41" s="434"/>
      <c r="AB41" s="431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432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>
        <f ca="1">ORÇAMENTO!C42</f>
        <v>2</v>
      </c>
      <c r="B42">
        <f ca="1">ORÇAMENTO!D42</f>
        <v>10</v>
      </c>
      <c r="C42" s="143" t="str">
        <f t="shared" ca="1" si="1"/>
        <v>F</v>
      </c>
      <c r="D42" s="146" t="str">
        <f ca="1">ORÇAMENTO!O42</f>
        <v>1.3.</v>
      </c>
      <c r="E42" s="206" t="str">
        <f t="shared" si="2"/>
        <v>ALVENARIA</v>
      </c>
      <c r="F42" s="207" t="str">
        <f t="shared" ca="1" si="3"/>
        <v>-</v>
      </c>
      <c r="G42" s="151">
        <f ca="1">IF(RegimeExecucao="Global","",ORÇAMENTO!T42)</f>
        <v>0</v>
      </c>
      <c r="H42" s="151">
        <f ca="1">IF(RegimeExecucao="Global","",ORÇAMENTO!W42)</f>
        <v>0</v>
      </c>
      <c r="I42" s="154">
        <f ca="1">ORÇAMENTO!X42</f>
        <v>2180.5700000000002</v>
      </c>
      <c r="J42" s="427">
        <f t="shared" ca="1" si="4"/>
        <v>0</v>
      </c>
      <c r="K42" s="151">
        <f t="shared" ca="1" si="5"/>
        <v>0</v>
      </c>
      <c r="L42" s="428">
        <f t="shared" ca="1" si="6"/>
        <v>0</v>
      </c>
      <c r="M42" s="429">
        <f ca="1">IF($A42="S",VTOTALBM,IF($A42=0,0,ROUND(SomaAgrupBM,15-13*ORÇAMENTO!$AF$11)))</f>
        <v>0</v>
      </c>
      <c r="N42" s="430">
        <f t="shared" ca="1" si="7"/>
        <v>0</v>
      </c>
      <c r="O42" s="154">
        <f ca="1">IF($A42="S",VTOTALBM,IF($A42=0,0,ROUND(SomaAgrupBM,15-13*ORÇAMENTO!$AF$11)))</f>
        <v>0</v>
      </c>
      <c r="Q42" s="431"/>
      <c r="R42" s="432"/>
      <c r="T42" s="146" t="str">
        <f t="shared" ca="1" si="8"/>
        <v/>
      </c>
      <c r="U42" s="206" t="str">
        <f t="shared" ca="1" si="9"/>
        <v/>
      </c>
      <c r="V42" s="207" t="str">
        <f t="shared" ca="1" si="10"/>
        <v/>
      </c>
      <c r="W42" s="595">
        <f ca="1">IF($Y42&gt;0,CHOOSE(MATCH(RegimeExecucao,{"Unitário","Global"},0),IF($A42="S",$Y42/$X42,""),($Y42/$X42)*100),0)</f>
        <v>0</v>
      </c>
      <c r="X42" s="433" t="str">
        <f ca="1">IF($Y42&gt;0,CHOOSE(MATCH(RegimeExecucao,{"Unitário","Global"},0),IF($A42="S",ROUND($H42,ORÇAMENTO!$AF$10),""),ROUND($I42,ORÇAMENTO!$AF$11)),"")</f>
        <v/>
      </c>
      <c r="Y42" s="433">
        <f t="shared" ca="1" si="11"/>
        <v>0</v>
      </c>
      <c r="Z42" s="434"/>
      <c r="AB42" s="431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432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3" t="str">
        <f t="shared" ca="1" si="1"/>
        <v>F</v>
      </c>
      <c r="D43" s="146" t="str">
        <f ca="1">ORÇAMENTO!O43</f>
        <v>1.3.1.</v>
      </c>
      <c r="E43" s="206" t="str">
        <f t="shared" ca="1" si="2"/>
        <v>(abra o arquivo 'Referência 05-2023.xls)</v>
      </c>
      <c r="F43" s="207" t="str">
        <f t="shared" ca="1" si="3"/>
        <v>-</v>
      </c>
      <c r="G43" s="151">
        <f ca="1">IF(RegimeExecucao="Global","",ORÇAMENTO!T43)</f>
        <v>2.85</v>
      </c>
      <c r="H43" s="151">
        <f ca="1">IF(RegimeExecucao="Global","",ORÇAMENTO!W43)</f>
        <v>76.010000000000005</v>
      </c>
      <c r="I43" s="154">
        <f ca="1">ORÇAMENTO!X43</f>
        <v>216.63</v>
      </c>
      <c r="J43" s="427">
        <f t="shared" ca="1" si="4"/>
        <v>0</v>
      </c>
      <c r="K43" s="151">
        <f t="shared" ca="1" si="5"/>
        <v>0</v>
      </c>
      <c r="L43" s="428">
        <f t="shared" ca="1" si="6"/>
        <v>0</v>
      </c>
      <c r="M43" s="429">
        <f ca="1">IF($A43="S",VTOTALBM,IF($A43=0,0,ROUND(SomaAgrupBM,15-13*ORÇAMENTO!$AF$11)))</f>
        <v>0</v>
      </c>
      <c r="N43" s="430">
        <f t="shared" ca="1" si="7"/>
        <v>0</v>
      </c>
      <c r="O43" s="154">
        <f ca="1">IF($A43="S",VTOTALBM,IF($A43=0,0,ROUND(SomaAgrupBM,15-13*ORÇAMENTO!$AF$11)))</f>
        <v>0</v>
      </c>
      <c r="Q43" s="431"/>
      <c r="R43" s="432"/>
      <c r="T43" s="146" t="str">
        <f t="shared" ca="1" si="8"/>
        <v/>
      </c>
      <c r="U43" s="206" t="str">
        <f t="shared" ca="1" si="9"/>
        <v/>
      </c>
      <c r="V43" s="207" t="str">
        <f t="shared" ca="1" si="10"/>
        <v/>
      </c>
      <c r="W43" s="595">
        <f ca="1">IF($Y43&gt;0,CHOOSE(MATCH(RegimeExecucao,{"Unitário","Global"},0),IF($A43="S",$Y43/$X43,""),($Y43/$X43)*100),0)</f>
        <v>0</v>
      </c>
      <c r="X43" s="433" t="str">
        <f ca="1">IF($Y43&gt;0,CHOOSE(MATCH(RegimeExecucao,{"Unitário","Global"},0),IF($A43="S",ROUND($H43,ORÇAMENTO!$AF$10),""),ROUND($I43,ORÇAMENTO!$AF$11)),"")</f>
        <v/>
      </c>
      <c r="Y43" s="433">
        <f t="shared" ca="1" si="11"/>
        <v>0</v>
      </c>
      <c r="Z43" s="434"/>
      <c r="AB43" s="431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432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3" t="str">
        <f t="shared" ca="1" si="1"/>
        <v>F</v>
      </c>
      <c r="D44" s="146" t="str">
        <f ca="1">ORÇAMENTO!O44</f>
        <v>1.3.2.</v>
      </c>
      <c r="E44" s="206" t="str">
        <f t="shared" ca="1" si="2"/>
        <v>(abra o arquivo 'Referência 05-2023.xls)</v>
      </c>
      <c r="F44" s="207" t="str">
        <f t="shared" ca="1" si="3"/>
        <v>-</v>
      </c>
      <c r="G44" s="151">
        <f ca="1">IF(RegimeExecucao="Global","",ORÇAMENTO!T44)</f>
        <v>5.7</v>
      </c>
      <c r="H44" s="151">
        <f ca="1">IF(RegimeExecucao="Global","",ORÇAMENTO!W44)</f>
        <v>6.65</v>
      </c>
      <c r="I44" s="154">
        <f ca="1">ORÇAMENTO!X44</f>
        <v>37.909999999999997</v>
      </c>
      <c r="J44" s="427">
        <f t="shared" ca="1" si="4"/>
        <v>0</v>
      </c>
      <c r="K44" s="151">
        <f t="shared" ca="1" si="5"/>
        <v>0</v>
      </c>
      <c r="L44" s="428">
        <f t="shared" ca="1" si="6"/>
        <v>0</v>
      </c>
      <c r="M44" s="429">
        <f ca="1">IF($A44="S",VTOTALBM,IF($A44=0,0,ROUND(SomaAgrupBM,15-13*ORÇAMENTO!$AF$11)))</f>
        <v>0</v>
      </c>
      <c r="N44" s="430">
        <f t="shared" ca="1" si="7"/>
        <v>0</v>
      </c>
      <c r="O44" s="154">
        <f ca="1">IF($A44="S",VTOTALBM,IF($A44=0,0,ROUND(SomaAgrupBM,15-13*ORÇAMENTO!$AF$11)))</f>
        <v>0</v>
      </c>
      <c r="Q44" s="431"/>
      <c r="R44" s="432"/>
      <c r="T44" s="146" t="str">
        <f t="shared" ca="1" si="8"/>
        <v/>
      </c>
      <c r="U44" s="206" t="str">
        <f t="shared" ca="1" si="9"/>
        <v/>
      </c>
      <c r="V44" s="207" t="str">
        <f t="shared" ca="1" si="10"/>
        <v/>
      </c>
      <c r="W44" s="595">
        <f ca="1">IF($Y44&gt;0,CHOOSE(MATCH(RegimeExecucao,{"Unitário","Global"},0),IF($A44="S",$Y44/$X44,""),($Y44/$X44)*100),0)</f>
        <v>0</v>
      </c>
      <c r="X44" s="433" t="str">
        <f ca="1">IF($Y44&gt;0,CHOOSE(MATCH(RegimeExecucao,{"Unitário","Global"},0),IF($A44="S",ROUND($H44,ORÇAMENTO!$AF$10),""),ROUND($I44,ORÇAMENTO!$AF$11)),"")</f>
        <v/>
      </c>
      <c r="Y44" s="433">
        <f t="shared" ca="1" si="11"/>
        <v>0</v>
      </c>
      <c r="Z44" s="434"/>
      <c r="AB44" s="431"/>
      <c r="AC44" s="569"/>
      <c r="AD44" s="569"/>
      <c r="AE44" s="569"/>
      <c r="AF44" s="569"/>
      <c r="AG44" s="569"/>
      <c r="AH44" s="569"/>
      <c r="AI44" s="569"/>
      <c r="AJ44" s="569"/>
      <c r="AK44" s="569"/>
      <c r="AL44" s="569"/>
      <c r="AM44" s="432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3" t="str">
        <f t="shared" ca="1" si="1"/>
        <v>F</v>
      </c>
      <c r="D45" s="146" t="str">
        <f ca="1">ORÇAMENTO!O45</f>
        <v>1.3.3.</v>
      </c>
      <c r="E45" s="206" t="str">
        <f t="shared" ca="1" si="2"/>
        <v>(abra o arquivo 'Referência 05-2023.xls)</v>
      </c>
      <c r="F45" s="207" t="str">
        <f t="shared" ca="1" si="3"/>
        <v>-</v>
      </c>
      <c r="G45" s="151">
        <f ca="1">IF(RegimeExecucao="Global","",ORÇAMENTO!T45)</f>
        <v>5.7</v>
      </c>
      <c r="H45" s="151">
        <f ca="1">IF(RegimeExecucao="Global","",ORÇAMENTO!W45)</f>
        <v>31.89</v>
      </c>
      <c r="I45" s="154">
        <f ca="1">ORÇAMENTO!X45</f>
        <v>181.77</v>
      </c>
      <c r="J45" s="427">
        <f t="shared" ca="1" si="4"/>
        <v>0</v>
      </c>
      <c r="K45" s="151">
        <f t="shared" ca="1" si="5"/>
        <v>0</v>
      </c>
      <c r="L45" s="428">
        <f t="shared" ca="1" si="6"/>
        <v>0</v>
      </c>
      <c r="M45" s="429">
        <f ca="1">IF($A45="S",VTOTALBM,IF($A45=0,0,ROUND(SomaAgrupBM,15-13*ORÇAMENTO!$AF$11)))</f>
        <v>0</v>
      </c>
      <c r="N45" s="430">
        <f t="shared" ca="1" si="7"/>
        <v>0</v>
      </c>
      <c r="O45" s="154">
        <f ca="1">IF($A45="S",VTOTALBM,IF($A45=0,0,ROUND(SomaAgrupBM,15-13*ORÇAMENTO!$AF$11)))</f>
        <v>0</v>
      </c>
      <c r="Q45" s="431"/>
      <c r="R45" s="432"/>
      <c r="T45" s="146" t="str">
        <f t="shared" ca="1" si="8"/>
        <v/>
      </c>
      <c r="U45" s="206" t="str">
        <f t="shared" ca="1" si="9"/>
        <v/>
      </c>
      <c r="V45" s="207" t="str">
        <f t="shared" ca="1" si="10"/>
        <v/>
      </c>
      <c r="W45" s="595">
        <f ca="1">IF($Y45&gt;0,CHOOSE(MATCH(RegimeExecucao,{"Unitário","Global"},0),IF($A45="S",$Y45/$X45,""),($Y45/$X45)*100),0)</f>
        <v>0</v>
      </c>
      <c r="X45" s="433" t="str">
        <f ca="1">IF($Y45&gt;0,CHOOSE(MATCH(RegimeExecucao,{"Unitário","Global"},0),IF($A45="S",ROUND($H45,ORÇAMENTO!$AF$10),""),ROUND($I45,ORÇAMENTO!$AF$11)),"")</f>
        <v/>
      </c>
      <c r="Y45" s="433">
        <f t="shared" ca="1" si="11"/>
        <v>0</v>
      </c>
      <c r="Z45" s="434"/>
      <c r="AB45" s="431"/>
      <c r="AC45" s="569"/>
      <c r="AD45" s="569"/>
      <c r="AE45" s="569"/>
      <c r="AF45" s="569"/>
      <c r="AG45" s="569"/>
      <c r="AH45" s="569"/>
      <c r="AI45" s="569"/>
      <c r="AJ45" s="569"/>
      <c r="AK45" s="569"/>
      <c r="AL45" s="569"/>
      <c r="AM45" s="432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3" t="str">
        <f t="shared" ca="1" si="1"/>
        <v/>
      </c>
      <c r="D46" s="146" t="str">
        <f ca="1">ORÇAMENTO!O46</f>
        <v>-</v>
      </c>
      <c r="E46" s="206" t="str">
        <f t="shared" ca="1" si="2"/>
        <v>(abra o arquivo 'Referência 05-2023.xls)</v>
      </c>
      <c r="F46" s="207" t="str">
        <f t="shared" ca="1" si="3"/>
        <v>-</v>
      </c>
      <c r="G46" s="151">
        <f ca="1">IF(RegimeExecucao="Global","",ORÇAMENTO!T46)</f>
        <v>0</v>
      </c>
      <c r="H46" s="151">
        <f ca="1">IF(RegimeExecucao="Global","",ORÇAMENTO!W46)</f>
        <v>0</v>
      </c>
      <c r="I46" s="154">
        <f ca="1">ORÇAMENTO!X46</f>
        <v>0</v>
      </c>
      <c r="J46" s="427">
        <f t="shared" ca="1" si="4"/>
        <v>0</v>
      </c>
      <c r="K46" s="151">
        <f t="shared" ca="1" si="5"/>
        <v>0</v>
      </c>
      <c r="L46" s="428">
        <f t="shared" ca="1" si="6"/>
        <v>0</v>
      </c>
      <c r="M46" s="429">
        <f ca="1">IF($A46="S",VTOTALBM,IF($A46=0,0,ROUND(SomaAgrupBM,15-13*ORÇAMENTO!$AF$11)))</f>
        <v>0</v>
      </c>
      <c r="N46" s="430">
        <f t="shared" ca="1" si="7"/>
        <v>0</v>
      </c>
      <c r="O46" s="154">
        <f ca="1">IF($A46="S",VTOTALBM,IF($A46=0,0,ROUND(SomaAgrupBM,15-13*ORÇAMENTO!$AF$11)))</f>
        <v>0</v>
      </c>
      <c r="Q46" s="431"/>
      <c r="R46" s="432"/>
      <c r="T46" s="146" t="str">
        <f t="shared" ca="1" si="8"/>
        <v/>
      </c>
      <c r="U46" s="206" t="str">
        <f t="shared" ca="1" si="9"/>
        <v/>
      </c>
      <c r="V46" s="207" t="str">
        <f t="shared" ca="1" si="10"/>
        <v/>
      </c>
      <c r="W46" s="595">
        <f ca="1">IF($Y46&gt;0,CHOOSE(MATCH(RegimeExecucao,{"Unitário","Global"},0),IF($A46="S",$Y46/$X46,""),($Y46/$X46)*100),0)</f>
        <v>0</v>
      </c>
      <c r="X46" s="433" t="str">
        <f ca="1">IF($Y46&gt;0,CHOOSE(MATCH(RegimeExecucao,{"Unitário","Global"},0),IF($A46="S",ROUND($H46,ORÇAMENTO!$AF$10),""),ROUND($I46,ORÇAMENTO!$AF$11)),"")</f>
        <v/>
      </c>
      <c r="Y46" s="433">
        <f t="shared" ca="1" si="11"/>
        <v>0</v>
      </c>
      <c r="Z46" s="434"/>
      <c r="AB46" s="431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432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3" t="str">
        <f t="shared" ca="1" si="1"/>
        <v/>
      </c>
      <c r="D47" s="146" t="str">
        <f ca="1">ORÇAMENTO!O47</f>
        <v>-</v>
      </c>
      <c r="E47" s="206" t="str">
        <f t="shared" ca="1" si="2"/>
        <v>(abra o arquivo 'Referência 05-2023.xls)</v>
      </c>
      <c r="F47" s="207" t="str">
        <f t="shared" ca="1" si="3"/>
        <v>-</v>
      </c>
      <c r="G47" s="151">
        <f ca="1">IF(RegimeExecucao="Global","",ORÇAMENTO!T47)</f>
        <v>0</v>
      </c>
      <c r="H47" s="151">
        <f ca="1">IF(RegimeExecucao="Global","",ORÇAMENTO!W47)</f>
        <v>0</v>
      </c>
      <c r="I47" s="154">
        <f ca="1">ORÇAMENTO!X47</f>
        <v>0</v>
      </c>
      <c r="J47" s="427">
        <f t="shared" ca="1" si="4"/>
        <v>0</v>
      </c>
      <c r="K47" s="151">
        <f t="shared" ca="1" si="5"/>
        <v>0</v>
      </c>
      <c r="L47" s="428">
        <f t="shared" ca="1" si="6"/>
        <v>0</v>
      </c>
      <c r="M47" s="429">
        <f ca="1">IF($A47="S",VTOTALBM,IF($A47=0,0,ROUND(SomaAgrupBM,15-13*ORÇAMENTO!$AF$11)))</f>
        <v>0</v>
      </c>
      <c r="N47" s="430">
        <f t="shared" ca="1" si="7"/>
        <v>0</v>
      </c>
      <c r="O47" s="154">
        <f ca="1">IF($A47="S",VTOTALBM,IF($A47=0,0,ROUND(SomaAgrupBM,15-13*ORÇAMENTO!$AF$11)))</f>
        <v>0</v>
      </c>
      <c r="Q47" s="431"/>
      <c r="R47" s="432"/>
      <c r="T47" s="146" t="str">
        <f t="shared" ca="1" si="8"/>
        <v/>
      </c>
      <c r="U47" s="206" t="str">
        <f t="shared" ca="1" si="9"/>
        <v/>
      </c>
      <c r="V47" s="207" t="str">
        <f t="shared" ca="1" si="10"/>
        <v/>
      </c>
      <c r="W47" s="595">
        <f ca="1">IF($Y47&gt;0,CHOOSE(MATCH(RegimeExecucao,{"Unitário","Global"},0),IF($A47="S",$Y47/$X47,""),($Y47/$X47)*100),0)</f>
        <v>0</v>
      </c>
      <c r="X47" s="433" t="str">
        <f ca="1">IF($Y47&gt;0,CHOOSE(MATCH(RegimeExecucao,{"Unitário","Global"},0),IF($A47="S",ROUND($H47,ORÇAMENTO!$AF$10),""),ROUND($I47,ORÇAMENTO!$AF$11)),"")</f>
        <v/>
      </c>
      <c r="Y47" s="433">
        <f t="shared" ca="1" si="11"/>
        <v>0</v>
      </c>
      <c r="Z47" s="434"/>
      <c r="AB47" s="431"/>
      <c r="AC47" s="569"/>
      <c r="AD47" s="569"/>
      <c r="AE47" s="569"/>
      <c r="AF47" s="569"/>
      <c r="AG47" s="569"/>
      <c r="AH47" s="569"/>
      <c r="AI47" s="569"/>
      <c r="AJ47" s="569"/>
      <c r="AK47" s="569"/>
      <c r="AL47" s="569"/>
      <c r="AM47" s="432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3" t="str">
        <f t="shared" ca="1" si="1"/>
        <v>F</v>
      </c>
      <c r="D48" s="146" t="str">
        <f ca="1">ORÇAMENTO!O48</f>
        <v>1.3.4.</v>
      </c>
      <c r="E48" s="206" t="str">
        <f t="shared" ca="1" si="2"/>
        <v>(abra o arquivo 'Referência 05-2023.xls)</v>
      </c>
      <c r="F48" s="207" t="str">
        <f t="shared" ca="1" si="3"/>
        <v>-</v>
      </c>
      <c r="G48" s="151">
        <f ca="1">IF(RegimeExecucao="Global","",ORÇAMENTO!T48)</f>
        <v>6</v>
      </c>
      <c r="H48" s="151">
        <f ca="1">IF(RegimeExecucao="Global","",ORÇAMENTO!W48)</f>
        <v>137.16</v>
      </c>
      <c r="I48" s="154">
        <f ca="1">ORÇAMENTO!X48</f>
        <v>822.96</v>
      </c>
      <c r="J48" s="427">
        <f t="shared" ca="1" si="4"/>
        <v>0</v>
      </c>
      <c r="K48" s="151">
        <f t="shared" ca="1" si="5"/>
        <v>0</v>
      </c>
      <c r="L48" s="428">
        <f t="shared" ca="1" si="6"/>
        <v>0</v>
      </c>
      <c r="M48" s="429">
        <f ca="1">IF($A48="S",VTOTALBM,IF($A48=0,0,ROUND(SomaAgrupBM,15-13*ORÇAMENTO!$AF$11)))</f>
        <v>0</v>
      </c>
      <c r="N48" s="430">
        <f t="shared" ca="1" si="7"/>
        <v>0</v>
      </c>
      <c r="O48" s="154">
        <f ca="1">IF($A48="S",VTOTALBM,IF($A48=0,0,ROUND(SomaAgrupBM,15-13*ORÇAMENTO!$AF$11)))</f>
        <v>0</v>
      </c>
      <c r="Q48" s="431"/>
      <c r="R48" s="432"/>
      <c r="T48" s="146" t="str">
        <f t="shared" ca="1" si="8"/>
        <v/>
      </c>
      <c r="U48" s="206" t="str">
        <f t="shared" ca="1" si="9"/>
        <v/>
      </c>
      <c r="V48" s="207" t="str">
        <f t="shared" ca="1" si="10"/>
        <v/>
      </c>
      <c r="W48" s="595">
        <f ca="1">IF($Y48&gt;0,CHOOSE(MATCH(RegimeExecucao,{"Unitário","Global"},0),IF($A48="S",$Y48/$X48,""),($Y48/$X48)*100),0)</f>
        <v>0</v>
      </c>
      <c r="X48" s="433" t="str">
        <f ca="1">IF($Y48&gt;0,CHOOSE(MATCH(RegimeExecucao,{"Unitário","Global"},0),IF($A48="S",ROUND($H48,ORÇAMENTO!$AF$10),""),ROUND($I48,ORÇAMENTO!$AF$11)),"")</f>
        <v/>
      </c>
      <c r="Y48" s="433">
        <f t="shared" ca="1" si="11"/>
        <v>0</v>
      </c>
      <c r="Z48" s="434"/>
      <c r="AB48" s="431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432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3" t="str">
        <f t="shared" ca="1" si="1"/>
        <v>F</v>
      </c>
      <c r="D49" s="146" t="str">
        <f ca="1">ORÇAMENTO!O49</f>
        <v>1.3.5.</v>
      </c>
      <c r="E49" s="206" t="str">
        <f t="shared" ca="1" si="2"/>
        <v>(abra o arquivo 'Referência 05-2023.xls)</v>
      </c>
      <c r="F49" s="207" t="str">
        <f t="shared" ca="1" si="3"/>
        <v>-</v>
      </c>
      <c r="G49" s="151">
        <f ca="1">IF(RegimeExecucao="Global","",ORÇAMENTO!T49)</f>
        <v>6</v>
      </c>
      <c r="H49" s="151">
        <f ca="1">IF(RegimeExecucao="Global","",ORÇAMENTO!W49)</f>
        <v>153.55000000000001</v>
      </c>
      <c r="I49" s="154">
        <f ca="1">ORÇAMENTO!X49</f>
        <v>921.3</v>
      </c>
      <c r="J49" s="427">
        <f t="shared" ca="1" si="4"/>
        <v>0</v>
      </c>
      <c r="K49" s="151">
        <f t="shared" ca="1" si="5"/>
        <v>0</v>
      </c>
      <c r="L49" s="428">
        <f t="shared" ca="1" si="6"/>
        <v>0</v>
      </c>
      <c r="M49" s="429">
        <f ca="1">IF($A49="S",VTOTALBM,IF($A49=0,0,ROUND(SomaAgrupBM,15-13*ORÇAMENTO!$AF$11)))</f>
        <v>0</v>
      </c>
      <c r="N49" s="430">
        <f t="shared" ca="1" si="7"/>
        <v>0</v>
      </c>
      <c r="O49" s="154">
        <f ca="1">IF($A49="S",VTOTALBM,IF($A49=0,0,ROUND(SomaAgrupBM,15-13*ORÇAMENTO!$AF$11)))</f>
        <v>0</v>
      </c>
      <c r="Q49" s="431"/>
      <c r="R49" s="432"/>
      <c r="T49" s="146" t="str">
        <f t="shared" ca="1" si="8"/>
        <v/>
      </c>
      <c r="U49" s="206" t="str">
        <f t="shared" ca="1" si="9"/>
        <v/>
      </c>
      <c r="V49" s="207" t="str">
        <f t="shared" ca="1" si="10"/>
        <v/>
      </c>
      <c r="W49" s="595">
        <f ca="1">IF($Y49&gt;0,CHOOSE(MATCH(RegimeExecucao,{"Unitário","Global"},0),IF($A49="S",$Y49/$X49,""),($Y49/$X49)*100),0)</f>
        <v>0</v>
      </c>
      <c r="X49" s="433" t="str">
        <f ca="1">IF($Y49&gt;0,CHOOSE(MATCH(RegimeExecucao,{"Unitário","Global"},0),IF($A49="S",ROUND($H49,ORÇAMENTO!$AF$10),""),ROUND($I49,ORÇAMENTO!$AF$11)),"")</f>
        <v/>
      </c>
      <c r="Y49" s="433">
        <f t="shared" ca="1" si="11"/>
        <v>0</v>
      </c>
      <c r="Z49" s="434"/>
      <c r="AB49" s="431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432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3" t="str">
        <f t="shared" ca="1" si="1"/>
        <v/>
      </c>
      <c r="D50" s="146" t="str">
        <f ca="1">ORÇAMENTO!O50</f>
        <v>-</v>
      </c>
      <c r="E50" s="206" t="str">
        <f t="shared" ca="1" si="2"/>
        <v>(abra o arquivo 'Referência 05-2023.xls)</v>
      </c>
      <c r="F50" s="207" t="str">
        <f t="shared" ca="1" si="3"/>
        <v>-</v>
      </c>
      <c r="G50" s="151">
        <f ca="1">IF(RegimeExecucao="Global","",ORÇAMENTO!T50)</f>
        <v>0</v>
      </c>
      <c r="H50" s="151">
        <f ca="1">IF(RegimeExecucao="Global","",ORÇAMENTO!W50)</f>
        <v>0</v>
      </c>
      <c r="I50" s="154">
        <f ca="1">ORÇAMENTO!X50</f>
        <v>0</v>
      </c>
      <c r="J50" s="427">
        <f t="shared" ca="1" si="4"/>
        <v>0</v>
      </c>
      <c r="K50" s="151">
        <f t="shared" ca="1" si="5"/>
        <v>0</v>
      </c>
      <c r="L50" s="428">
        <f t="shared" ca="1" si="6"/>
        <v>0</v>
      </c>
      <c r="M50" s="429">
        <f ca="1">IF($A50="S",VTOTALBM,IF($A50=0,0,ROUND(SomaAgrupBM,15-13*ORÇAMENTO!$AF$11)))</f>
        <v>0</v>
      </c>
      <c r="N50" s="430">
        <f t="shared" ca="1" si="7"/>
        <v>0</v>
      </c>
      <c r="O50" s="154">
        <f ca="1">IF($A50="S",VTOTALBM,IF($A50=0,0,ROUND(SomaAgrupBM,15-13*ORÇAMENTO!$AF$11)))</f>
        <v>0</v>
      </c>
      <c r="Q50" s="431"/>
      <c r="R50" s="432"/>
      <c r="T50" s="146" t="str">
        <f t="shared" ca="1" si="8"/>
        <v/>
      </c>
      <c r="U50" s="206" t="str">
        <f t="shared" ca="1" si="9"/>
        <v/>
      </c>
      <c r="V50" s="207" t="str">
        <f t="shared" ca="1" si="10"/>
        <v/>
      </c>
      <c r="W50" s="595">
        <f ca="1">IF($Y50&gt;0,CHOOSE(MATCH(RegimeExecucao,{"Unitário","Global"},0),IF($A50="S",$Y50/$X50,""),($Y50/$X50)*100),0)</f>
        <v>0</v>
      </c>
      <c r="X50" s="433" t="str">
        <f ca="1">IF($Y50&gt;0,CHOOSE(MATCH(RegimeExecucao,{"Unitário","Global"},0),IF($A50="S",ROUND($H50,ORÇAMENTO!$AF$10),""),ROUND($I50,ORÇAMENTO!$AF$11)),"")</f>
        <v/>
      </c>
      <c r="Y50" s="433">
        <f t="shared" ca="1" si="11"/>
        <v>0</v>
      </c>
      <c r="Z50" s="434"/>
      <c r="AB50" s="431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432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3" t="str">
        <f t="shared" ca="1" si="1"/>
        <v/>
      </c>
      <c r="D51" s="146" t="str">
        <f ca="1">ORÇAMENTO!O51</f>
        <v>-</v>
      </c>
      <c r="E51" s="206" t="str">
        <f t="shared" ca="1" si="2"/>
        <v>(abra o arquivo 'Referência 05-2023.xls)</v>
      </c>
      <c r="F51" s="207" t="str">
        <f t="shared" ca="1" si="3"/>
        <v>-</v>
      </c>
      <c r="G51" s="151">
        <f ca="1">IF(RegimeExecucao="Global","",ORÇAMENTO!T51)</f>
        <v>0</v>
      </c>
      <c r="H51" s="151">
        <f ca="1">IF(RegimeExecucao="Global","",ORÇAMENTO!W51)</f>
        <v>0</v>
      </c>
      <c r="I51" s="154">
        <f ca="1">ORÇAMENTO!X51</f>
        <v>0</v>
      </c>
      <c r="J51" s="427">
        <f t="shared" ca="1" si="4"/>
        <v>0</v>
      </c>
      <c r="K51" s="151">
        <f t="shared" ca="1" si="5"/>
        <v>0</v>
      </c>
      <c r="L51" s="428">
        <f t="shared" ca="1" si="6"/>
        <v>0</v>
      </c>
      <c r="M51" s="429">
        <f ca="1">IF($A51="S",VTOTALBM,IF($A51=0,0,ROUND(SomaAgrupBM,15-13*ORÇAMENTO!$AF$11)))</f>
        <v>0</v>
      </c>
      <c r="N51" s="430">
        <f t="shared" ca="1" si="7"/>
        <v>0</v>
      </c>
      <c r="O51" s="154">
        <f ca="1">IF($A51="S",VTOTALBM,IF($A51=0,0,ROUND(SomaAgrupBM,15-13*ORÇAMENTO!$AF$11)))</f>
        <v>0</v>
      </c>
      <c r="Q51" s="431"/>
      <c r="R51" s="432"/>
      <c r="T51" s="146" t="str">
        <f t="shared" ca="1" si="8"/>
        <v/>
      </c>
      <c r="U51" s="206" t="str">
        <f t="shared" ca="1" si="9"/>
        <v/>
      </c>
      <c r="V51" s="207" t="str">
        <f t="shared" ca="1" si="10"/>
        <v/>
      </c>
      <c r="W51" s="595">
        <f ca="1">IF($Y51&gt;0,CHOOSE(MATCH(RegimeExecucao,{"Unitário","Global"},0),IF($A51="S",$Y51/$X51,""),($Y51/$X51)*100),0)</f>
        <v>0</v>
      </c>
      <c r="X51" s="433" t="str">
        <f ca="1">IF($Y51&gt;0,CHOOSE(MATCH(RegimeExecucao,{"Unitário","Global"},0),IF($A51="S",ROUND($H51,ORÇAMENTO!$AF$10),""),ROUND($I51,ORÇAMENTO!$AF$11)),"")</f>
        <v/>
      </c>
      <c r="Y51" s="433">
        <f t="shared" ca="1" si="11"/>
        <v>0</v>
      </c>
      <c r="Z51" s="434"/>
      <c r="AB51" s="431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432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>
        <f ca="1">ORÇAMENTO!C52</f>
        <v>2</v>
      </c>
      <c r="B52">
        <f ca="1">ORÇAMENTO!D52</f>
        <v>214</v>
      </c>
      <c r="C52" s="143" t="str">
        <f t="shared" ca="1" si="1"/>
        <v>F</v>
      </c>
      <c r="D52" s="146" t="str">
        <f ca="1">ORÇAMENTO!O52</f>
        <v>1.4.</v>
      </c>
      <c r="E52" s="206" t="str">
        <f t="shared" si="2"/>
        <v>PINTURAS E TEXTURAS</v>
      </c>
      <c r="F52" s="207" t="str">
        <f t="shared" ca="1" si="3"/>
        <v>-</v>
      </c>
      <c r="G52" s="151">
        <f ca="1">IF(RegimeExecucao="Global","",ORÇAMENTO!T52)</f>
        <v>0</v>
      </c>
      <c r="H52" s="151">
        <f ca="1">IF(RegimeExecucao="Global","",ORÇAMENTO!W52)</f>
        <v>0</v>
      </c>
      <c r="I52" s="154">
        <f ca="1">ORÇAMENTO!X52</f>
        <v>19631.05</v>
      </c>
      <c r="J52" s="427">
        <f t="shared" ca="1" si="4"/>
        <v>0</v>
      </c>
      <c r="K52" s="151">
        <f t="shared" ca="1" si="5"/>
        <v>0</v>
      </c>
      <c r="L52" s="428">
        <f t="shared" ca="1" si="6"/>
        <v>0</v>
      </c>
      <c r="M52" s="429">
        <f ca="1">IF($A52="S",VTOTALBM,IF($A52=0,0,ROUND(SomaAgrupBM,15-13*ORÇAMENTO!$AF$11)))</f>
        <v>0</v>
      </c>
      <c r="N52" s="430">
        <f t="shared" ca="1" si="7"/>
        <v>0</v>
      </c>
      <c r="O52" s="154">
        <f ca="1">IF($A52="S",VTOTALBM,IF($A52=0,0,ROUND(SomaAgrupBM,15-13*ORÇAMENTO!$AF$11)))</f>
        <v>0</v>
      </c>
      <c r="Q52" s="431"/>
      <c r="R52" s="432"/>
      <c r="T52" s="146" t="str">
        <f t="shared" ca="1" si="8"/>
        <v/>
      </c>
      <c r="U52" s="206" t="str">
        <f t="shared" ca="1" si="9"/>
        <v/>
      </c>
      <c r="V52" s="207" t="str">
        <f t="shared" ca="1" si="10"/>
        <v/>
      </c>
      <c r="W52" s="595">
        <f ca="1">IF($Y52&gt;0,CHOOSE(MATCH(RegimeExecucao,{"Unitário","Global"},0),IF($A52="S",$Y52/$X52,""),($Y52/$X52)*100),0)</f>
        <v>0</v>
      </c>
      <c r="X52" s="433" t="str">
        <f ca="1">IF($Y52&gt;0,CHOOSE(MATCH(RegimeExecucao,{"Unitário","Global"},0),IF($A52="S",ROUND($H52,ORÇAMENTO!$AF$10),""),ROUND($I52,ORÇAMENTO!$AF$11)),"")</f>
        <v/>
      </c>
      <c r="Y52" s="433">
        <f t="shared" ca="1" si="11"/>
        <v>0</v>
      </c>
      <c r="Z52" s="434"/>
      <c r="AB52" s="431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432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3" t="str">
        <f t="shared" ca="1" si="1"/>
        <v/>
      </c>
      <c r="D53" s="146" t="str">
        <f ca="1">ORÇAMENTO!O53</f>
        <v>-</v>
      </c>
      <c r="E53" s="206" t="str">
        <f t="shared" ca="1" si="2"/>
        <v>(abra o arquivo 'Referência 05-2023.xls)</v>
      </c>
      <c r="F53" s="207" t="str">
        <f t="shared" ca="1" si="3"/>
        <v>-</v>
      </c>
      <c r="G53" s="151">
        <f ca="1">IF(RegimeExecucao="Global","",ORÇAMENTO!T53)</f>
        <v>420</v>
      </c>
      <c r="H53" s="151">
        <f ca="1">IF(RegimeExecucao="Global","",ORÇAMENTO!W53)</f>
        <v>0</v>
      </c>
      <c r="I53" s="154">
        <f ca="1">ORÇAMENTO!X53</f>
        <v>0</v>
      </c>
      <c r="J53" s="427">
        <f t="shared" ca="1" si="4"/>
        <v>0</v>
      </c>
      <c r="K53" s="151">
        <f t="shared" ca="1" si="5"/>
        <v>0</v>
      </c>
      <c r="L53" s="428">
        <f t="shared" ca="1" si="6"/>
        <v>0</v>
      </c>
      <c r="M53" s="429">
        <f ca="1">IF($A53="S",VTOTALBM,IF($A53=0,0,ROUND(SomaAgrupBM,15-13*ORÇAMENTO!$AF$11)))</f>
        <v>0</v>
      </c>
      <c r="N53" s="430">
        <f t="shared" ca="1" si="7"/>
        <v>0</v>
      </c>
      <c r="O53" s="154">
        <f ca="1">IF($A53="S",VTOTALBM,IF($A53=0,0,ROUND(SomaAgrupBM,15-13*ORÇAMENTO!$AF$11)))</f>
        <v>0</v>
      </c>
      <c r="Q53" s="431"/>
      <c r="R53" s="432"/>
      <c r="T53" s="146" t="str">
        <f t="shared" ca="1" si="8"/>
        <v/>
      </c>
      <c r="U53" s="206" t="str">
        <f t="shared" ca="1" si="9"/>
        <v/>
      </c>
      <c r="V53" s="207" t="str">
        <f t="shared" ca="1" si="10"/>
        <v/>
      </c>
      <c r="W53" s="595">
        <f ca="1">IF($Y53&gt;0,CHOOSE(MATCH(RegimeExecucao,{"Unitário","Global"},0),IF($A53="S",$Y53/$X53,""),($Y53/$X53)*100),0)</f>
        <v>0</v>
      </c>
      <c r="X53" s="433" t="str">
        <f ca="1">IF($Y53&gt;0,CHOOSE(MATCH(RegimeExecucao,{"Unitário","Global"},0),IF($A53="S",ROUND($H53,ORÇAMENTO!$AF$10),""),ROUND($I53,ORÇAMENTO!$AF$11)),"")</f>
        <v/>
      </c>
      <c r="Y53" s="433">
        <f t="shared" ca="1" si="11"/>
        <v>0</v>
      </c>
      <c r="Z53" s="434"/>
      <c r="AB53" s="431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432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3" t="str">
        <f t="shared" ca="1" si="1"/>
        <v/>
      </c>
      <c r="D54" s="146" t="str">
        <f ca="1">ORÇAMENTO!O54</f>
        <v>-</v>
      </c>
      <c r="E54" s="206" t="str">
        <f t="shared" ca="1" si="2"/>
        <v>(abra o arquivo 'Referência 05-2023.xls)</v>
      </c>
      <c r="F54" s="207" t="str">
        <f t="shared" ca="1" si="3"/>
        <v>-</v>
      </c>
      <c r="G54" s="151">
        <f ca="1">IF(RegimeExecucao="Global","",ORÇAMENTO!T54)</f>
        <v>400</v>
      </c>
      <c r="H54" s="151">
        <f ca="1">IF(RegimeExecucao="Global","",ORÇAMENTO!W54)</f>
        <v>0</v>
      </c>
      <c r="I54" s="154">
        <f ca="1">ORÇAMENTO!X54</f>
        <v>0</v>
      </c>
      <c r="J54" s="427">
        <f t="shared" ca="1" si="4"/>
        <v>0</v>
      </c>
      <c r="K54" s="151">
        <f t="shared" ca="1" si="5"/>
        <v>0</v>
      </c>
      <c r="L54" s="428">
        <f t="shared" ca="1" si="6"/>
        <v>0</v>
      </c>
      <c r="M54" s="429">
        <f ca="1">IF($A54="S",VTOTALBM,IF($A54=0,0,ROUND(SomaAgrupBM,15-13*ORÇAMENTO!$AF$11)))</f>
        <v>0</v>
      </c>
      <c r="N54" s="430">
        <f t="shared" ca="1" si="7"/>
        <v>0</v>
      </c>
      <c r="O54" s="154">
        <f ca="1">IF($A54="S",VTOTALBM,IF($A54=0,0,ROUND(SomaAgrupBM,15-13*ORÇAMENTO!$AF$11)))</f>
        <v>0</v>
      </c>
      <c r="Q54" s="431"/>
      <c r="R54" s="432"/>
      <c r="T54" s="146" t="str">
        <f t="shared" ca="1" si="8"/>
        <v/>
      </c>
      <c r="U54" s="206" t="str">
        <f t="shared" ca="1" si="9"/>
        <v/>
      </c>
      <c r="V54" s="207" t="str">
        <f t="shared" ca="1" si="10"/>
        <v/>
      </c>
      <c r="W54" s="595">
        <f ca="1">IF($Y54&gt;0,CHOOSE(MATCH(RegimeExecucao,{"Unitário","Global"},0),IF($A54="S",$Y54/$X54,""),($Y54/$X54)*100),0)</f>
        <v>0</v>
      </c>
      <c r="X54" s="433" t="str">
        <f ca="1">IF($Y54&gt;0,CHOOSE(MATCH(RegimeExecucao,{"Unitário","Global"},0),IF($A54="S",ROUND($H54,ORÇAMENTO!$AF$10),""),ROUND($I54,ORÇAMENTO!$AF$11)),"")</f>
        <v/>
      </c>
      <c r="Y54" s="433">
        <f t="shared" ca="1" si="11"/>
        <v>0</v>
      </c>
      <c r="Z54" s="434"/>
      <c r="AB54" s="431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432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3" t="str">
        <f t="shared" ca="1" si="1"/>
        <v/>
      </c>
      <c r="D55" s="146" t="str">
        <f ca="1">ORÇAMENTO!O55</f>
        <v>-</v>
      </c>
      <c r="E55" s="206" t="str">
        <f t="shared" ca="1" si="2"/>
        <v>(abra o arquivo 'Referência 05-2023.xls)</v>
      </c>
      <c r="F55" s="207" t="str">
        <f t="shared" ca="1" si="3"/>
        <v>-</v>
      </c>
      <c r="G55" s="151">
        <f ca="1">IF(RegimeExecucao="Global","",ORÇAMENTO!T55)</f>
        <v>1100</v>
      </c>
      <c r="H55" s="151">
        <f ca="1">IF(RegimeExecucao="Global","",ORÇAMENTO!W55)</f>
        <v>0</v>
      </c>
      <c r="I55" s="154">
        <f ca="1">ORÇAMENTO!X55</f>
        <v>0</v>
      </c>
      <c r="J55" s="427">
        <f t="shared" ca="1" si="4"/>
        <v>0</v>
      </c>
      <c r="K55" s="151">
        <f t="shared" ca="1" si="5"/>
        <v>0</v>
      </c>
      <c r="L55" s="428">
        <f t="shared" ca="1" si="6"/>
        <v>0</v>
      </c>
      <c r="M55" s="429">
        <f ca="1">IF($A55="S",VTOTALBM,IF($A55=0,0,ROUND(SomaAgrupBM,15-13*ORÇAMENTO!$AF$11)))</f>
        <v>0</v>
      </c>
      <c r="N55" s="430">
        <f t="shared" ca="1" si="7"/>
        <v>0</v>
      </c>
      <c r="O55" s="154">
        <f ca="1">IF($A55="S",VTOTALBM,IF($A55=0,0,ROUND(SomaAgrupBM,15-13*ORÇAMENTO!$AF$11)))</f>
        <v>0</v>
      </c>
      <c r="Q55" s="431"/>
      <c r="R55" s="432"/>
      <c r="T55" s="146" t="str">
        <f t="shared" ca="1" si="8"/>
        <v/>
      </c>
      <c r="U55" s="206" t="str">
        <f t="shared" ca="1" si="9"/>
        <v/>
      </c>
      <c r="V55" s="207" t="str">
        <f t="shared" ca="1" si="10"/>
        <v/>
      </c>
      <c r="W55" s="595">
        <f ca="1">IF($Y55&gt;0,CHOOSE(MATCH(RegimeExecucao,{"Unitário","Global"},0),IF($A55="S",$Y55/$X55,""),($Y55/$X55)*100),0)</f>
        <v>0</v>
      </c>
      <c r="X55" s="433" t="str">
        <f ca="1">IF($Y55&gt;0,CHOOSE(MATCH(RegimeExecucao,{"Unitário","Global"},0),IF($A55="S",ROUND($H55,ORÇAMENTO!$AF$10),""),ROUND($I55,ORÇAMENTO!$AF$11)),"")</f>
        <v/>
      </c>
      <c r="Y55" s="433">
        <f t="shared" ca="1" si="11"/>
        <v>0</v>
      </c>
      <c r="Z55" s="434"/>
      <c r="AB55" s="431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432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3" t="str">
        <f t="shared" ca="1" si="1"/>
        <v>F</v>
      </c>
      <c r="D56" s="146" t="str">
        <f ca="1">ORÇAMENTO!O56</f>
        <v>1.4.1.</v>
      </c>
      <c r="E56" s="206" t="str">
        <f t="shared" ca="1" si="2"/>
        <v>(abra o arquivo 'Referência 05-2023.xls)</v>
      </c>
      <c r="F56" s="207" t="str">
        <f t="shared" ca="1" si="3"/>
        <v>-</v>
      </c>
      <c r="G56" s="151">
        <f ca="1">IF(RegimeExecucao="Global","",ORÇAMENTO!T56)</f>
        <v>985</v>
      </c>
      <c r="H56" s="151">
        <f ca="1">IF(RegimeExecucao="Global","",ORÇAMENTO!W56)</f>
        <v>19.93</v>
      </c>
      <c r="I56" s="154">
        <f ca="1">ORÇAMENTO!X56</f>
        <v>19631.05</v>
      </c>
      <c r="J56" s="427">
        <f t="shared" ca="1" si="4"/>
        <v>0</v>
      </c>
      <c r="K56" s="151">
        <f t="shared" ca="1" si="5"/>
        <v>0</v>
      </c>
      <c r="L56" s="428">
        <f t="shared" ca="1" si="6"/>
        <v>0</v>
      </c>
      <c r="M56" s="429">
        <f ca="1">IF($A56="S",VTOTALBM,IF($A56=0,0,ROUND(SomaAgrupBM,15-13*ORÇAMENTO!$AF$11)))</f>
        <v>0</v>
      </c>
      <c r="N56" s="430">
        <f t="shared" ca="1" si="7"/>
        <v>0</v>
      </c>
      <c r="O56" s="154">
        <f ca="1">IF($A56="S",VTOTALBM,IF($A56=0,0,ROUND(SomaAgrupBM,15-13*ORÇAMENTO!$AF$11)))</f>
        <v>0</v>
      </c>
      <c r="Q56" s="431"/>
      <c r="R56" s="432"/>
      <c r="T56" s="146" t="str">
        <f t="shared" ca="1" si="8"/>
        <v/>
      </c>
      <c r="U56" s="206" t="str">
        <f t="shared" ca="1" si="9"/>
        <v/>
      </c>
      <c r="V56" s="207" t="str">
        <f t="shared" ca="1" si="10"/>
        <v/>
      </c>
      <c r="W56" s="595">
        <f ca="1">IF($Y56&gt;0,CHOOSE(MATCH(RegimeExecucao,{"Unitário","Global"},0),IF($A56="S",$Y56/$X56,""),($Y56/$X56)*100),0)</f>
        <v>0</v>
      </c>
      <c r="X56" s="433" t="str">
        <f ca="1">IF($Y56&gt;0,CHOOSE(MATCH(RegimeExecucao,{"Unitário","Global"},0),IF($A56="S",ROUND($H56,ORÇAMENTO!$AF$10),""),ROUND($I56,ORÇAMENTO!$AF$11)),"")</f>
        <v/>
      </c>
      <c r="Y56" s="433">
        <f t="shared" ca="1" si="11"/>
        <v>0</v>
      </c>
      <c r="Z56" s="434"/>
      <c r="AB56" s="431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432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3" t="str">
        <f t="shared" ca="1" si="1"/>
        <v/>
      </c>
      <c r="D57" s="146" t="str">
        <f ca="1">ORÇAMENTO!O57</f>
        <v>-</v>
      </c>
      <c r="E57" s="206" t="str">
        <f t="shared" ca="1" si="2"/>
        <v>(abra o arquivo 'Referência 05-2023.xls)</v>
      </c>
      <c r="F57" s="207" t="str">
        <f t="shared" ca="1" si="3"/>
        <v>-</v>
      </c>
      <c r="G57" s="151">
        <f ca="1">IF(RegimeExecucao="Global","",ORÇAMENTO!T57)</f>
        <v>0</v>
      </c>
      <c r="H57" s="151">
        <f ca="1">IF(RegimeExecucao="Global","",ORÇAMENTO!W57)</f>
        <v>0</v>
      </c>
      <c r="I57" s="154">
        <f ca="1">ORÇAMENTO!X57</f>
        <v>0</v>
      </c>
      <c r="J57" s="427">
        <f t="shared" ca="1" si="4"/>
        <v>0</v>
      </c>
      <c r="K57" s="151">
        <f t="shared" ca="1" si="5"/>
        <v>0</v>
      </c>
      <c r="L57" s="428">
        <f t="shared" ca="1" si="6"/>
        <v>0</v>
      </c>
      <c r="M57" s="429">
        <f ca="1">IF($A57="S",VTOTALBM,IF($A57=0,0,ROUND(SomaAgrupBM,15-13*ORÇAMENTO!$AF$11)))</f>
        <v>0</v>
      </c>
      <c r="N57" s="430">
        <f t="shared" ca="1" si="7"/>
        <v>0</v>
      </c>
      <c r="O57" s="154">
        <f ca="1">IF($A57="S",VTOTALBM,IF($A57=0,0,ROUND(SomaAgrupBM,15-13*ORÇAMENTO!$AF$11)))</f>
        <v>0</v>
      </c>
      <c r="Q57" s="431"/>
      <c r="R57" s="432"/>
      <c r="T57" s="146" t="str">
        <f t="shared" ca="1" si="8"/>
        <v/>
      </c>
      <c r="U57" s="206" t="str">
        <f t="shared" ca="1" si="9"/>
        <v/>
      </c>
      <c r="V57" s="207" t="str">
        <f t="shared" ca="1" si="10"/>
        <v/>
      </c>
      <c r="W57" s="595">
        <f ca="1">IF($Y57&gt;0,CHOOSE(MATCH(RegimeExecucao,{"Unitário","Global"},0),IF($A57="S",$Y57/$X57,""),($Y57/$X57)*100),0)</f>
        <v>0</v>
      </c>
      <c r="X57" s="433" t="str">
        <f ca="1">IF($Y57&gt;0,CHOOSE(MATCH(RegimeExecucao,{"Unitário","Global"},0),IF($A57="S",ROUND($H57,ORÇAMENTO!$AF$10),""),ROUND($I57,ORÇAMENTO!$AF$11)),"")</f>
        <v/>
      </c>
      <c r="Y57" s="433">
        <f t="shared" ca="1" si="11"/>
        <v>0</v>
      </c>
      <c r="Z57" s="434"/>
      <c r="AB57" s="431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432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3" t="str">
        <f t="shared" ca="1" si="1"/>
        <v/>
      </c>
      <c r="D58" s="146" t="str">
        <f ca="1">ORÇAMENTO!O58</f>
        <v>-</v>
      </c>
      <c r="E58" s="206" t="str">
        <f t="shared" ca="1" si="2"/>
        <v>(abra o arquivo 'Referência 05-2023.xls)</v>
      </c>
      <c r="F58" s="207" t="str">
        <f t="shared" ca="1" si="3"/>
        <v>-</v>
      </c>
      <c r="G58" s="151">
        <f ca="1">IF(RegimeExecucao="Global","",ORÇAMENTO!T58)</f>
        <v>0</v>
      </c>
      <c r="H58" s="151">
        <f ca="1">IF(RegimeExecucao="Global","",ORÇAMENTO!W58)</f>
        <v>0</v>
      </c>
      <c r="I58" s="154">
        <f ca="1">ORÇAMENTO!X58</f>
        <v>0</v>
      </c>
      <c r="J58" s="427">
        <f t="shared" ca="1" si="4"/>
        <v>0</v>
      </c>
      <c r="K58" s="151">
        <f t="shared" ca="1" si="5"/>
        <v>0</v>
      </c>
      <c r="L58" s="428">
        <f t="shared" ca="1" si="6"/>
        <v>0</v>
      </c>
      <c r="M58" s="429">
        <f ca="1">IF($A58="S",VTOTALBM,IF($A58=0,0,ROUND(SomaAgrupBM,15-13*ORÇAMENTO!$AF$11)))</f>
        <v>0</v>
      </c>
      <c r="N58" s="430">
        <f t="shared" ca="1" si="7"/>
        <v>0</v>
      </c>
      <c r="O58" s="154">
        <f ca="1">IF($A58="S",VTOTALBM,IF($A58=0,0,ROUND(SomaAgrupBM,15-13*ORÇAMENTO!$AF$11)))</f>
        <v>0</v>
      </c>
      <c r="Q58" s="431"/>
      <c r="R58" s="432"/>
      <c r="T58" s="146" t="str">
        <f t="shared" ca="1" si="8"/>
        <v/>
      </c>
      <c r="U58" s="206" t="str">
        <f t="shared" ca="1" si="9"/>
        <v/>
      </c>
      <c r="V58" s="207" t="str">
        <f t="shared" ca="1" si="10"/>
        <v/>
      </c>
      <c r="W58" s="595">
        <f ca="1">IF($Y58&gt;0,CHOOSE(MATCH(RegimeExecucao,{"Unitário","Global"},0),IF($A58="S",$Y58/$X58,""),($Y58/$X58)*100),0)</f>
        <v>0</v>
      </c>
      <c r="X58" s="433" t="str">
        <f ca="1">IF($Y58&gt;0,CHOOSE(MATCH(RegimeExecucao,{"Unitário","Global"},0),IF($A58="S",ROUND($H58,ORÇAMENTO!$AF$10),""),ROUND($I58,ORÇAMENTO!$AF$11)),"")</f>
        <v/>
      </c>
      <c r="Y58" s="433">
        <f t="shared" ca="1" si="11"/>
        <v>0</v>
      </c>
      <c r="Z58" s="434"/>
      <c r="AB58" s="431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432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3" t="str">
        <f t="shared" ca="1" si="1"/>
        <v/>
      </c>
      <c r="D59" s="146" t="str">
        <f ca="1">ORÇAMENTO!O59</f>
        <v>-</v>
      </c>
      <c r="E59" s="206" t="str">
        <f t="shared" ca="1" si="2"/>
        <v>(abra o arquivo 'Referência 05-2023.xls)</v>
      </c>
      <c r="F59" s="207" t="str">
        <f t="shared" ca="1" si="3"/>
        <v>-</v>
      </c>
      <c r="G59" s="151">
        <f ca="1">IF(RegimeExecucao="Global","",ORÇAMENTO!T59)</f>
        <v>0</v>
      </c>
      <c r="H59" s="151">
        <f ca="1">IF(RegimeExecucao="Global","",ORÇAMENTO!W59)</f>
        <v>0</v>
      </c>
      <c r="I59" s="154">
        <f ca="1">ORÇAMENTO!X59</f>
        <v>0</v>
      </c>
      <c r="J59" s="427">
        <f t="shared" ca="1" si="4"/>
        <v>0</v>
      </c>
      <c r="K59" s="151">
        <f t="shared" ca="1" si="5"/>
        <v>0</v>
      </c>
      <c r="L59" s="428">
        <f t="shared" ca="1" si="6"/>
        <v>0</v>
      </c>
      <c r="M59" s="429">
        <f ca="1">IF($A59="S",VTOTALBM,IF($A59=0,0,ROUND(SomaAgrupBM,15-13*ORÇAMENTO!$AF$11)))</f>
        <v>0</v>
      </c>
      <c r="N59" s="430">
        <f t="shared" ca="1" si="7"/>
        <v>0</v>
      </c>
      <c r="O59" s="154">
        <f ca="1">IF($A59="S",VTOTALBM,IF($A59=0,0,ROUND(SomaAgrupBM,15-13*ORÇAMENTO!$AF$11)))</f>
        <v>0</v>
      </c>
      <c r="Q59" s="431"/>
      <c r="R59" s="432"/>
      <c r="T59" s="146" t="str">
        <f t="shared" ca="1" si="8"/>
        <v/>
      </c>
      <c r="U59" s="206" t="str">
        <f t="shared" ca="1" si="9"/>
        <v/>
      </c>
      <c r="V59" s="207" t="str">
        <f t="shared" ca="1" si="10"/>
        <v/>
      </c>
      <c r="W59" s="595">
        <f ca="1">IF($Y59&gt;0,CHOOSE(MATCH(RegimeExecucao,{"Unitário","Global"},0),IF($A59="S",$Y59/$X59,""),($Y59/$X59)*100),0)</f>
        <v>0</v>
      </c>
      <c r="X59" s="433" t="str">
        <f ca="1">IF($Y59&gt;0,CHOOSE(MATCH(RegimeExecucao,{"Unitário","Global"},0),IF($A59="S",ROUND($H59,ORÇAMENTO!$AF$10),""),ROUND($I59,ORÇAMENTO!$AF$11)),"")</f>
        <v/>
      </c>
      <c r="Y59" s="433">
        <f t="shared" ca="1" si="11"/>
        <v>0</v>
      </c>
      <c r="Z59" s="434"/>
      <c r="AB59" s="431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432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3" t="str">
        <f t="shared" ca="1" si="1"/>
        <v/>
      </c>
      <c r="D60" s="146" t="str">
        <f ca="1">ORÇAMENTO!O60</f>
        <v>-</v>
      </c>
      <c r="E60" s="206" t="str">
        <f t="shared" ca="1" si="2"/>
        <v>(abra o arquivo 'Referência 05-2023.xls)</v>
      </c>
      <c r="F60" s="207" t="str">
        <f t="shared" ca="1" si="3"/>
        <v>-</v>
      </c>
      <c r="G60" s="151">
        <f ca="1">IF(RegimeExecucao="Global","",ORÇAMENTO!T60)</f>
        <v>0</v>
      </c>
      <c r="H60" s="151">
        <f ca="1">IF(RegimeExecucao="Global","",ORÇAMENTO!W60)</f>
        <v>0</v>
      </c>
      <c r="I60" s="154">
        <f ca="1">ORÇAMENTO!X60</f>
        <v>0</v>
      </c>
      <c r="J60" s="427">
        <f t="shared" ca="1" si="4"/>
        <v>0</v>
      </c>
      <c r="K60" s="151">
        <f t="shared" ca="1" si="5"/>
        <v>0</v>
      </c>
      <c r="L60" s="428">
        <f t="shared" ca="1" si="6"/>
        <v>0</v>
      </c>
      <c r="M60" s="429">
        <f ca="1">IF($A60="S",VTOTALBM,IF($A60=0,0,ROUND(SomaAgrupBM,15-13*ORÇAMENTO!$AF$11)))</f>
        <v>0</v>
      </c>
      <c r="N60" s="430">
        <f t="shared" ca="1" si="7"/>
        <v>0</v>
      </c>
      <c r="O60" s="154">
        <f ca="1">IF($A60="S",VTOTALBM,IF($A60=0,0,ROUND(SomaAgrupBM,15-13*ORÇAMENTO!$AF$11)))</f>
        <v>0</v>
      </c>
      <c r="Q60" s="431"/>
      <c r="R60" s="432"/>
      <c r="T60" s="146" t="str">
        <f t="shared" ca="1" si="8"/>
        <v/>
      </c>
      <c r="U60" s="206" t="str">
        <f t="shared" ca="1" si="9"/>
        <v/>
      </c>
      <c r="V60" s="207" t="str">
        <f t="shared" ca="1" si="10"/>
        <v/>
      </c>
      <c r="W60" s="595">
        <f ca="1">IF($Y60&gt;0,CHOOSE(MATCH(RegimeExecucao,{"Unitário","Global"},0),IF($A60="S",$Y60/$X60,""),($Y60/$X60)*100),0)</f>
        <v>0</v>
      </c>
      <c r="X60" s="433" t="str">
        <f ca="1">IF($Y60&gt;0,CHOOSE(MATCH(RegimeExecucao,{"Unitário","Global"},0),IF($A60="S",ROUND($H60,ORÇAMENTO!$AF$10),""),ROUND($I60,ORÇAMENTO!$AF$11)),"")</f>
        <v/>
      </c>
      <c r="Y60" s="433">
        <f t="shared" ca="1" si="11"/>
        <v>0</v>
      </c>
      <c r="Z60" s="434"/>
      <c r="AB60" s="431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432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3" t="str">
        <f t="shared" ca="1" si="1"/>
        <v/>
      </c>
      <c r="D61" s="146" t="str">
        <f ca="1">ORÇAMENTO!O61</f>
        <v>-</v>
      </c>
      <c r="E61" s="206" t="str">
        <f t="shared" ca="1" si="2"/>
        <v>(abra o arquivo 'Referência 05-2023.xls)</v>
      </c>
      <c r="F61" s="207" t="str">
        <f t="shared" ca="1" si="3"/>
        <v>-</v>
      </c>
      <c r="G61" s="151">
        <f ca="1">IF(RegimeExecucao="Global","",ORÇAMENTO!T61)</f>
        <v>0</v>
      </c>
      <c r="H61" s="151">
        <f ca="1">IF(RegimeExecucao="Global","",ORÇAMENTO!W61)</f>
        <v>0</v>
      </c>
      <c r="I61" s="154">
        <f ca="1">ORÇAMENTO!X61</f>
        <v>0</v>
      </c>
      <c r="J61" s="427">
        <f t="shared" ca="1" si="4"/>
        <v>0</v>
      </c>
      <c r="K61" s="151">
        <f t="shared" ca="1" si="5"/>
        <v>0</v>
      </c>
      <c r="L61" s="428">
        <f t="shared" ca="1" si="6"/>
        <v>0</v>
      </c>
      <c r="M61" s="429">
        <f ca="1">IF($A61="S",VTOTALBM,IF($A61=0,0,ROUND(SomaAgrupBM,15-13*ORÇAMENTO!$AF$11)))</f>
        <v>0</v>
      </c>
      <c r="N61" s="430">
        <f t="shared" ca="1" si="7"/>
        <v>0</v>
      </c>
      <c r="O61" s="154">
        <f ca="1">IF($A61="S",VTOTALBM,IF($A61=0,0,ROUND(SomaAgrupBM,15-13*ORÇAMENTO!$AF$11)))</f>
        <v>0</v>
      </c>
      <c r="Q61" s="431"/>
      <c r="R61" s="432"/>
      <c r="T61" s="146" t="str">
        <f t="shared" ca="1" si="8"/>
        <v/>
      </c>
      <c r="U61" s="206" t="str">
        <f t="shared" ca="1" si="9"/>
        <v/>
      </c>
      <c r="V61" s="207" t="str">
        <f t="shared" ca="1" si="10"/>
        <v/>
      </c>
      <c r="W61" s="595">
        <f ca="1">IF($Y61&gt;0,CHOOSE(MATCH(RegimeExecucao,{"Unitário","Global"},0),IF($A61="S",$Y61/$X61,""),($Y61/$X61)*100),0)</f>
        <v>0</v>
      </c>
      <c r="X61" s="433" t="str">
        <f ca="1">IF($Y61&gt;0,CHOOSE(MATCH(RegimeExecucao,{"Unitário","Global"},0),IF($A61="S",ROUND($H61,ORÇAMENTO!$AF$10),""),ROUND($I61,ORÇAMENTO!$AF$11)),"")</f>
        <v/>
      </c>
      <c r="Y61" s="433">
        <f t="shared" ca="1" si="11"/>
        <v>0</v>
      </c>
      <c r="Z61" s="434"/>
      <c r="AB61" s="431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432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3" t="str">
        <f t="shared" ca="1" si="1"/>
        <v/>
      </c>
      <c r="D62" s="146" t="str">
        <f ca="1">ORÇAMENTO!O62</f>
        <v>-</v>
      </c>
      <c r="E62" s="206" t="str">
        <f t="shared" ca="1" si="2"/>
        <v>(abra o arquivo 'Referência 05-2023.xls)</v>
      </c>
      <c r="F62" s="207" t="str">
        <f t="shared" ca="1" si="3"/>
        <v>-</v>
      </c>
      <c r="G62" s="151">
        <f ca="1">IF(RegimeExecucao="Global","",ORÇAMENTO!T62)</f>
        <v>0</v>
      </c>
      <c r="H62" s="151">
        <f ca="1">IF(RegimeExecucao="Global","",ORÇAMENTO!W62)</f>
        <v>0</v>
      </c>
      <c r="I62" s="154">
        <f ca="1">ORÇAMENTO!X62</f>
        <v>0</v>
      </c>
      <c r="J62" s="427">
        <f t="shared" ca="1" si="4"/>
        <v>0</v>
      </c>
      <c r="K62" s="151">
        <f t="shared" ca="1" si="5"/>
        <v>0</v>
      </c>
      <c r="L62" s="428">
        <f t="shared" ca="1" si="6"/>
        <v>0</v>
      </c>
      <c r="M62" s="429">
        <f ca="1">IF($A62="S",VTOTALBM,IF($A62=0,0,ROUND(SomaAgrupBM,15-13*ORÇAMENTO!$AF$11)))</f>
        <v>0</v>
      </c>
      <c r="N62" s="430">
        <f t="shared" ca="1" si="7"/>
        <v>0</v>
      </c>
      <c r="O62" s="154">
        <f ca="1">IF($A62="S",VTOTALBM,IF($A62=0,0,ROUND(SomaAgrupBM,15-13*ORÇAMENTO!$AF$11)))</f>
        <v>0</v>
      </c>
      <c r="Q62" s="431"/>
      <c r="R62" s="432"/>
      <c r="T62" s="146" t="str">
        <f t="shared" ca="1" si="8"/>
        <v/>
      </c>
      <c r="U62" s="206" t="str">
        <f t="shared" ca="1" si="9"/>
        <v/>
      </c>
      <c r="V62" s="207" t="str">
        <f t="shared" ca="1" si="10"/>
        <v/>
      </c>
      <c r="W62" s="595">
        <f ca="1">IF($Y62&gt;0,CHOOSE(MATCH(RegimeExecucao,{"Unitário","Global"},0),IF($A62="S",$Y62/$X62,""),($Y62/$X62)*100),0)</f>
        <v>0</v>
      </c>
      <c r="X62" s="433" t="str">
        <f ca="1">IF($Y62&gt;0,CHOOSE(MATCH(RegimeExecucao,{"Unitário","Global"},0),IF($A62="S",ROUND($H62,ORÇAMENTO!$AF$10),""),ROUND($I62,ORÇAMENTO!$AF$11)),"")</f>
        <v/>
      </c>
      <c r="Y62" s="433">
        <f t="shared" ca="1" si="11"/>
        <v>0</v>
      </c>
      <c r="Z62" s="434"/>
      <c r="AB62" s="431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432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3" t="str">
        <f t="shared" ca="1" si="1"/>
        <v/>
      </c>
      <c r="D63" s="146" t="str">
        <f ca="1">ORÇAMENTO!O63</f>
        <v>-</v>
      </c>
      <c r="E63" s="206" t="str">
        <f t="shared" ca="1" si="2"/>
        <v>(abra o arquivo 'Referência 05-2023.xls)</v>
      </c>
      <c r="F63" s="207" t="str">
        <f t="shared" ca="1" si="3"/>
        <v>-</v>
      </c>
      <c r="G63" s="151">
        <f ca="1">IF(RegimeExecucao="Global","",ORÇAMENTO!T63)</f>
        <v>0</v>
      </c>
      <c r="H63" s="151">
        <f ca="1">IF(RegimeExecucao="Global","",ORÇAMENTO!W63)</f>
        <v>0</v>
      </c>
      <c r="I63" s="154">
        <f ca="1">ORÇAMENTO!X63</f>
        <v>0</v>
      </c>
      <c r="J63" s="427">
        <f t="shared" ca="1" si="4"/>
        <v>0</v>
      </c>
      <c r="K63" s="151">
        <f t="shared" ca="1" si="5"/>
        <v>0</v>
      </c>
      <c r="L63" s="428">
        <f t="shared" ca="1" si="6"/>
        <v>0</v>
      </c>
      <c r="M63" s="429">
        <f ca="1">IF($A63="S",VTOTALBM,IF($A63=0,0,ROUND(SomaAgrupBM,15-13*ORÇAMENTO!$AF$11)))</f>
        <v>0</v>
      </c>
      <c r="N63" s="430">
        <f t="shared" ca="1" si="7"/>
        <v>0</v>
      </c>
      <c r="O63" s="154">
        <f ca="1">IF($A63="S",VTOTALBM,IF($A63=0,0,ROUND(SomaAgrupBM,15-13*ORÇAMENTO!$AF$11)))</f>
        <v>0</v>
      </c>
      <c r="Q63" s="431"/>
      <c r="R63" s="432"/>
      <c r="T63" s="146" t="str">
        <f t="shared" ca="1" si="8"/>
        <v/>
      </c>
      <c r="U63" s="206" t="str">
        <f t="shared" ca="1" si="9"/>
        <v/>
      </c>
      <c r="V63" s="207" t="str">
        <f t="shared" ca="1" si="10"/>
        <v/>
      </c>
      <c r="W63" s="595">
        <f ca="1">IF($Y63&gt;0,CHOOSE(MATCH(RegimeExecucao,{"Unitário","Global"},0),IF($A63="S",$Y63/$X63,""),($Y63/$X63)*100),0)</f>
        <v>0</v>
      </c>
      <c r="X63" s="433" t="str">
        <f ca="1">IF($Y63&gt;0,CHOOSE(MATCH(RegimeExecucao,{"Unitário","Global"},0),IF($A63="S",ROUND($H63,ORÇAMENTO!$AF$10),""),ROUND($I63,ORÇAMENTO!$AF$11)),"")</f>
        <v/>
      </c>
      <c r="Y63" s="433">
        <f t="shared" ca="1" si="11"/>
        <v>0</v>
      </c>
      <c r="Z63" s="434"/>
      <c r="AB63" s="431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432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3" t="str">
        <f t="shared" ca="1" si="1"/>
        <v/>
      </c>
      <c r="D64" s="146" t="str">
        <f ca="1">ORÇAMENTO!O64</f>
        <v>-</v>
      </c>
      <c r="E64" s="206" t="str">
        <f t="shared" ca="1" si="2"/>
        <v>(abra o arquivo 'Referência 05-2023.xls)</v>
      </c>
      <c r="F64" s="207" t="str">
        <f t="shared" ca="1" si="3"/>
        <v>-</v>
      </c>
      <c r="G64" s="151">
        <f ca="1">IF(RegimeExecucao="Global","",ORÇAMENTO!T64)</f>
        <v>0</v>
      </c>
      <c r="H64" s="151">
        <f ca="1">IF(RegimeExecucao="Global","",ORÇAMENTO!W64)</f>
        <v>0</v>
      </c>
      <c r="I64" s="154">
        <f ca="1">ORÇAMENTO!X64</f>
        <v>0</v>
      </c>
      <c r="J64" s="427">
        <f t="shared" ca="1" si="4"/>
        <v>0</v>
      </c>
      <c r="K64" s="151">
        <f t="shared" ca="1" si="5"/>
        <v>0</v>
      </c>
      <c r="L64" s="428">
        <f t="shared" ca="1" si="6"/>
        <v>0</v>
      </c>
      <c r="M64" s="429">
        <f ca="1">IF($A64="S",VTOTALBM,IF($A64=0,0,ROUND(SomaAgrupBM,15-13*ORÇAMENTO!$AF$11)))</f>
        <v>0</v>
      </c>
      <c r="N64" s="430">
        <f t="shared" ca="1" si="7"/>
        <v>0</v>
      </c>
      <c r="O64" s="154">
        <f ca="1">IF($A64="S",VTOTALBM,IF($A64=0,0,ROUND(SomaAgrupBM,15-13*ORÇAMENTO!$AF$11)))</f>
        <v>0</v>
      </c>
      <c r="Q64" s="431"/>
      <c r="R64" s="432"/>
      <c r="T64" s="146" t="str">
        <f t="shared" ca="1" si="8"/>
        <v/>
      </c>
      <c r="U64" s="206" t="str">
        <f t="shared" ca="1" si="9"/>
        <v/>
      </c>
      <c r="V64" s="207" t="str">
        <f t="shared" ca="1" si="10"/>
        <v/>
      </c>
      <c r="W64" s="595">
        <f ca="1">IF($Y64&gt;0,CHOOSE(MATCH(RegimeExecucao,{"Unitário","Global"},0),IF($A64="S",$Y64/$X64,""),($Y64/$X64)*100),0)</f>
        <v>0</v>
      </c>
      <c r="X64" s="433" t="str">
        <f ca="1">IF($Y64&gt;0,CHOOSE(MATCH(RegimeExecucao,{"Unitário","Global"},0),IF($A64="S",ROUND($H64,ORÇAMENTO!$AF$10),""),ROUND($I64,ORÇAMENTO!$AF$11)),"")</f>
        <v/>
      </c>
      <c r="Y64" s="433">
        <f t="shared" ca="1" si="11"/>
        <v>0</v>
      </c>
      <c r="Z64" s="434"/>
      <c r="AB64" s="431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432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3" t="str">
        <f t="shared" ca="1" si="1"/>
        <v/>
      </c>
      <c r="D65" s="146" t="str">
        <f ca="1">ORÇAMENTO!O65</f>
        <v>-</v>
      </c>
      <c r="E65" s="206" t="str">
        <f t="shared" ca="1" si="2"/>
        <v>(abra o arquivo 'Referência 05-2023.xls)</v>
      </c>
      <c r="F65" s="207" t="str">
        <f t="shared" ca="1" si="3"/>
        <v>-</v>
      </c>
      <c r="G65" s="151">
        <f ca="1">IF(RegimeExecucao="Global","",ORÇAMENTO!T65)</f>
        <v>0</v>
      </c>
      <c r="H65" s="151">
        <f ca="1">IF(RegimeExecucao="Global","",ORÇAMENTO!W65)</f>
        <v>0</v>
      </c>
      <c r="I65" s="154">
        <f ca="1">ORÇAMENTO!X65</f>
        <v>0</v>
      </c>
      <c r="J65" s="427">
        <f t="shared" ca="1" si="4"/>
        <v>0</v>
      </c>
      <c r="K65" s="151">
        <f t="shared" ca="1" si="5"/>
        <v>0</v>
      </c>
      <c r="L65" s="428">
        <f t="shared" ca="1" si="6"/>
        <v>0</v>
      </c>
      <c r="M65" s="429">
        <f ca="1">IF($A65="S",VTOTALBM,IF($A65=0,0,ROUND(SomaAgrupBM,15-13*ORÇAMENTO!$AF$11)))</f>
        <v>0</v>
      </c>
      <c r="N65" s="430">
        <f t="shared" ca="1" si="7"/>
        <v>0</v>
      </c>
      <c r="O65" s="154">
        <f ca="1">IF($A65="S",VTOTALBM,IF($A65=0,0,ROUND(SomaAgrupBM,15-13*ORÇAMENTO!$AF$11)))</f>
        <v>0</v>
      </c>
      <c r="Q65" s="431"/>
      <c r="R65" s="432"/>
      <c r="T65" s="146" t="str">
        <f t="shared" ca="1" si="8"/>
        <v/>
      </c>
      <c r="U65" s="206" t="str">
        <f t="shared" ca="1" si="9"/>
        <v/>
      </c>
      <c r="V65" s="207" t="str">
        <f t="shared" ca="1" si="10"/>
        <v/>
      </c>
      <c r="W65" s="595">
        <f ca="1">IF($Y65&gt;0,CHOOSE(MATCH(RegimeExecucao,{"Unitário","Global"},0),IF($A65="S",$Y65/$X65,""),($Y65/$X65)*100),0)</f>
        <v>0</v>
      </c>
      <c r="X65" s="433" t="str">
        <f ca="1">IF($Y65&gt;0,CHOOSE(MATCH(RegimeExecucao,{"Unitário","Global"},0),IF($A65="S",ROUND($H65,ORÇAMENTO!$AF$10),""),ROUND($I65,ORÇAMENTO!$AF$11)),"")</f>
        <v/>
      </c>
      <c r="Y65" s="433">
        <f t="shared" ca="1" si="11"/>
        <v>0</v>
      </c>
      <c r="Z65" s="434"/>
      <c r="AB65" s="431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432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3" t="str">
        <f t="shared" ca="1" si="1"/>
        <v/>
      </c>
      <c r="D66" s="146" t="str">
        <f ca="1">ORÇAMENTO!O66</f>
        <v>-</v>
      </c>
      <c r="E66" s="206" t="str">
        <f t="shared" ca="1" si="2"/>
        <v>(abra o arquivo 'Referência 05-2023.xls)</v>
      </c>
      <c r="F66" s="207" t="str">
        <f t="shared" ca="1" si="3"/>
        <v>-</v>
      </c>
      <c r="G66" s="151">
        <f ca="1">IF(RegimeExecucao="Global","",ORÇAMENTO!T66)</f>
        <v>0</v>
      </c>
      <c r="H66" s="151">
        <f ca="1">IF(RegimeExecucao="Global","",ORÇAMENTO!W66)</f>
        <v>0</v>
      </c>
      <c r="I66" s="154">
        <f ca="1">ORÇAMENTO!X66</f>
        <v>0</v>
      </c>
      <c r="J66" s="427">
        <f t="shared" ca="1" si="4"/>
        <v>0</v>
      </c>
      <c r="K66" s="151">
        <f t="shared" ca="1" si="5"/>
        <v>0</v>
      </c>
      <c r="L66" s="428">
        <f t="shared" ca="1" si="6"/>
        <v>0</v>
      </c>
      <c r="M66" s="429">
        <f ca="1">IF($A66="S",VTOTALBM,IF($A66=0,0,ROUND(SomaAgrupBM,15-13*ORÇAMENTO!$AF$11)))</f>
        <v>0</v>
      </c>
      <c r="N66" s="430">
        <f t="shared" ca="1" si="7"/>
        <v>0</v>
      </c>
      <c r="O66" s="154">
        <f ca="1">IF($A66="S",VTOTALBM,IF($A66=0,0,ROUND(SomaAgrupBM,15-13*ORÇAMENTO!$AF$11)))</f>
        <v>0</v>
      </c>
      <c r="Q66" s="431"/>
      <c r="R66" s="432"/>
      <c r="T66" s="146" t="str">
        <f t="shared" ca="1" si="8"/>
        <v/>
      </c>
      <c r="U66" s="206" t="str">
        <f t="shared" ca="1" si="9"/>
        <v/>
      </c>
      <c r="V66" s="207" t="str">
        <f t="shared" ca="1" si="10"/>
        <v/>
      </c>
      <c r="W66" s="595">
        <f ca="1">IF($Y66&gt;0,CHOOSE(MATCH(RegimeExecucao,{"Unitário","Global"},0),IF($A66="S",$Y66/$X66,""),($Y66/$X66)*100),0)</f>
        <v>0</v>
      </c>
      <c r="X66" s="433" t="str">
        <f ca="1">IF($Y66&gt;0,CHOOSE(MATCH(RegimeExecucao,{"Unitário","Global"},0),IF($A66="S",ROUND($H66,ORÇAMENTO!$AF$10),""),ROUND($I66,ORÇAMENTO!$AF$11)),"")</f>
        <v/>
      </c>
      <c r="Y66" s="433">
        <f t="shared" ca="1" si="11"/>
        <v>0</v>
      </c>
      <c r="Z66" s="434"/>
      <c r="AB66" s="431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432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3" t="str">
        <f t="shared" ca="1" si="1"/>
        <v/>
      </c>
      <c r="D67" s="146" t="str">
        <f ca="1">ORÇAMENTO!O67</f>
        <v>-</v>
      </c>
      <c r="E67" s="206" t="str">
        <f t="shared" ca="1" si="2"/>
        <v>(abra o arquivo 'Referência 05-2023.xls)</v>
      </c>
      <c r="F67" s="207" t="str">
        <f t="shared" ca="1" si="3"/>
        <v>-</v>
      </c>
      <c r="G67" s="151">
        <f ca="1">IF(RegimeExecucao="Global","",ORÇAMENTO!T67)</f>
        <v>0</v>
      </c>
      <c r="H67" s="151">
        <f ca="1">IF(RegimeExecucao="Global","",ORÇAMENTO!W67)</f>
        <v>0</v>
      </c>
      <c r="I67" s="154">
        <f ca="1">ORÇAMENTO!X67</f>
        <v>0</v>
      </c>
      <c r="J67" s="427">
        <f t="shared" ca="1" si="4"/>
        <v>0</v>
      </c>
      <c r="K67" s="151">
        <f t="shared" ca="1" si="5"/>
        <v>0</v>
      </c>
      <c r="L67" s="428">
        <f t="shared" ca="1" si="6"/>
        <v>0</v>
      </c>
      <c r="M67" s="429">
        <f ca="1">IF($A67="S",VTOTALBM,IF($A67=0,0,ROUND(SomaAgrupBM,15-13*ORÇAMENTO!$AF$11)))</f>
        <v>0</v>
      </c>
      <c r="N67" s="430">
        <f t="shared" ca="1" si="7"/>
        <v>0</v>
      </c>
      <c r="O67" s="154">
        <f ca="1">IF($A67="S",VTOTALBM,IF($A67=0,0,ROUND(SomaAgrupBM,15-13*ORÇAMENTO!$AF$11)))</f>
        <v>0</v>
      </c>
      <c r="Q67" s="431"/>
      <c r="R67" s="432"/>
      <c r="T67" s="146" t="str">
        <f t="shared" ca="1" si="8"/>
        <v/>
      </c>
      <c r="U67" s="206" t="str">
        <f t="shared" ca="1" si="9"/>
        <v/>
      </c>
      <c r="V67" s="207" t="str">
        <f t="shared" ca="1" si="10"/>
        <v/>
      </c>
      <c r="W67" s="595">
        <f ca="1">IF($Y67&gt;0,CHOOSE(MATCH(RegimeExecucao,{"Unitário","Global"},0),IF($A67="S",$Y67/$X67,""),($Y67/$X67)*100),0)</f>
        <v>0</v>
      </c>
      <c r="X67" s="433" t="str">
        <f ca="1">IF($Y67&gt;0,CHOOSE(MATCH(RegimeExecucao,{"Unitário","Global"},0),IF($A67="S",ROUND($H67,ORÇAMENTO!$AF$10),""),ROUND($I67,ORÇAMENTO!$AF$11)),"")</f>
        <v/>
      </c>
      <c r="Y67" s="433">
        <f t="shared" ca="1" si="11"/>
        <v>0</v>
      </c>
      <c r="Z67" s="434"/>
      <c r="AB67" s="431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432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3" t="str">
        <f t="shared" ca="1" si="1"/>
        <v/>
      </c>
      <c r="D68" s="146" t="str">
        <f ca="1">ORÇAMENTO!O68</f>
        <v>-</v>
      </c>
      <c r="E68" s="206" t="str">
        <f t="shared" ca="1" si="2"/>
        <v>(abra o arquivo 'Referência 05-2023.xls)</v>
      </c>
      <c r="F68" s="207" t="str">
        <f t="shared" ca="1" si="3"/>
        <v>-</v>
      </c>
      <c r="G68" s="151">
        <f ca="1">IF(RegimeExecucao="Global","",ORÇAMENTO!T68)</f>
        <v>0</v>
      </c>
      <c r="H68" s="151">
        <f ca="1">IF(RegimeExecucao="Global","",ORÇAMENTO!W68)</f>
        <v>0</v>
      </c>
      <c r="I68" s="154">
        <f ca="1">ORÇAMENTO!X68</f>
        <v>0</v>
      </c>
      <c r="J68" s="427">
        <f t="shared" ca="1" si="4"/>
        <v>0</v>
      </c>
      <c r="K68" s="151">
        <f t="shared" ca="1" si="5"/>
        <v>0</v>
      </c>
      <c r="L68" s="428">
        <f t="shared" ca="1" si="6"/>
        <v>0</v>
      </c>
      <c r="M68" s="429">
        <f ca="1">IF($A68="S",VTOTALBM,IF($A68=0,0,ROUND(SomaAgrupBM,15-13*ORÇAMENTO!$AF$11)))</f>
        <v>0</v>
      </c>
      <c r="N68" s="430">
        <f t="shared" ca="1" si="7"/>
        <v>0</v>
      </c>
      <c r="O68" s="154">
        <f ca="1">IF($A68="S",VTOTALBM,IF($A68=0,0,ROUND(SomaAgrupBM,15-13*ORÇAMENTO!$AF$11)))</f>
        <v>0</v>
      </c>
      <c r="Q68" s="431"/>
      <c r="R68" s="432"/>
      <c r="T68" s="146" t="str">
        <f t="shared" ca="1" si="8"/>
        <v/>
      </c>
      <c r="U68" s="206" t="str">
        <f t="shared" ca="1" si="9"/>
        <v/>
      </c>
      <c r="V68" s="207" t="str">
        <f t="shared" ca="1" si="10"/>
        <v/>
      </c>
      <c r="W68" s="595">
        <f ca="1">IF($Y68&gt;0,CHOOSE(MATCH(RegimeExecucao,{"Unitário","Global"},0),IF($A68="S",$Y68/$X68,""),($Y68/$X68)*100),0)</f>
        <v>0</v>
      </c>
      <c r="X68" s="433" t="str">
        <f ca="1">IF($Y68&gt;0,CHOOSE(MATCH(RegimeExecucao,{"Unitário","Global"},0),IF($A68="S",ROUND($H68,ORÇAMENTO!$AF$10),""),ROUND($I68,ORÇAMENTO!$AF$11)),"")</f>
        <v/>
      </c>
      <c r="Y68" s="433">
        <f t="shared" ca="1" si="11"/>
        <v>0</v>
      </c>
      <c r="Z68" s="434"/>
      <c r="AB68" s="431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432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3" t="str">
        <f t="shared" ca="1" si="1"/>
        <v/>
      </c>
      <c r="D69" s="146" t="str">
        <f ca="1">ORÇAMENTO!O69</f>
        <v>-</v>
      </c>
      <c r="E69" s="206" t="str">
        <f t="shared" ca="1" si="2"/>
        <v>(abra o arquivo 'Referência 05-2023.xls)</v>
      </c>
      <c r="F69" s="207" t="str">
        <f t="shared" ca="1" si="3"/>
        <v>-</v>
      </c>
      <c r="G69" s="151">
        <f ca="1">IF(RegimeExecucao="Global","",ORÇAMENTO!T69)</f>
        <v>0</v>
      </c>
      <c r="H69" s="151">
        <f ca="1">IF(RegimeExecucao="Global","",ORÇAMENTO!W69)</f>
        <v>0</v>
      </c>
      <c r="I69" s="154">
        <f ca="1">ORÇAMENTO!X69</f>
        <v>0</v>
      </c>
      <c r="J69" s="427">
        <f t="shared" ca="1" si="4"/>
        <v>0</v>
      </c>
      <c r="K69" s="151">
        <f t="shared" ca="1" si="5"/>
        <v>0</v>
      </c>
      <c r="L69" s="428">
        <f t="shared" ca="1" si="6"/>
        <v>0</v>
      </c>
      <c r="M69" s="429">
        <f ca="1">IF($A69="S",VTOTALBM,IF($A69=0,0,ROUND(SomaAgrupBM,15-13*ORÇAMENTO!$AF$11)))</f>
        <v>0</v>
      </c>
      <c r="N69" s="430">
        <f t="shared" ca="1" si="7"/>
        <v>0</v>
      </c>
      <c r="O69" s="154">
        <f ca="1">IF($A69="S",VTOTALBM,IF($A69=0,0,ROUND(SomaAgrupBM,15-13*ORÇAMENTO!$AF$11)))</f>
        <v>0</v>
      </c>
      <c r="Q69" s="431"/>
      <c r="R69" s="432"/>
      <c r="T69" s="146" t="str">
        <f t="shared" ca="1" si="8"/>
        <v/>
      </c>
      <c r="U69" s="206" t="str">
        <f t="shared" ca="1" si="9"/>
        <v/>
      </c>
      <c r="V69" s="207" t="str">
        <f t="shared" ca="1" si="10"/>
        <v/>
      </c>
      <c r="W69" s="595">
        <f ca="1">IF($Y69&gt;0,CHOOSE(MATCH(RegimeExecucao,{"Unitário","Global"},0),IF($A69="S",$Y69/$X69,""),($Y69/$X69)*100),0)</f>
        <v>0</v>
      </c>
      <c r="X69" s="433" t="str">
        <f ca="1">IF($Y69&gt;0,CHOOSE(MATCH(RegimeExecucao,{"Unitário","Global"},0),IF($A69="S",ROUND($H69,ORÇAMENTO!$AF$10),""),ROUND($I69,ORÇAMENTO!$AF$11)),"")</f>
        <v/>
      </c>
      <c r="Y69" s="433">
        <f t="shared" ca="1" si="11"/>
        <v>0</v>
      </c>
      <c r="Z69" s="434"/>
      <c r="AB69" s="431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432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3" t="str">
        <f t="shared" ca="1" si="1"/>
        <v/>
      </c>
      <c r="D70" s="146" t="str">
        <f ca="1">ORÇAMENTO!O70</f>
        <v>-</v>
      </c>
      <c r="E70" s="206" t="str">
        <f t="shared" ca="1" si="2"/>
        <v>(abra o arquivo 'Referência 05-2023.xls)</v>
      </c>
      <c r="F70" s="207" t="str">
        <f t="shared" ca="1" si="3"/>
        <v>-</v>
      </c>
      <c r="G70" s="151">
        <f ca="1">IF(RegimeExecucao="Global","",ORÇAMENTO!T70)</f>
        <v>0</v>
      </c>
      <c r="H70" s="151">
        <f ca="1">IF(RegimeExecucao="Global","",ORÇAMENTO!W70)</f>
        <v>0</v>
      </c>
      <c r="I70" s="154">
        <f ca="1">ORÇAMENTO!X70</f>
        <v>0</v>
      </c>
      <c r="J70" s="427">
        <f t="shared" ca="1" si="4"/>
        <v>0</v>
      </c>
      <c r="K70" s="151">
        <f t="shared" ca="1" si="5"/>
        <v>0</v>
      </c>
      <c r="L70" s="428">
        <f t="shared" ca="1" si="6"/>
        <v>0</v>
      </c>
      <c r="M70" s="429">
        <f ca="1">IF($A70="S",VTOTALBM,IF($A70=0,0,ROUND(SomaAgrupBM,15-13*ORÇAMENTO!$AF$11)))</f>
        <v>0</v>
      </c>
      <c r="N70" s="430">
        <f t="shared" ca="1" si="7"/>
        <v>0</v>
      </c>
      <c r="O70" s="154">
        <f ca="1">IF($A70="S",VTOTALBM,IF($A70=0,0,ROUND(SomaAgrupBM,15-13*ORÇAMENTO!$AF$11)))</f>
        <v>0</v>
      </c>
      <c r="Q70" s="431"/>
      <c r="R70" s="432"/>
      <c r="T70" s="146" t="str">
        <f t="shared" ca="1" si="8"/>
        <v/>
      </c>
      <c r="U70" s="206" t="str">
        <f t="shared" ca="1" si="9"/>
        <v/>
      </c>
      <c r="V70" s="207" t="str">
        <f t="shared" ca="1" si="10"/>
        <v/>
      </c>
      <c r="W70" s="595">
        <f ca="1">IF($Y70&gt;0,CHOOSE(MATCH(RegimeExecucao,{"Unitário","Global"},0),IF($A70="S",$Y70/$X70,""),($Y70/$X70)*100),0)</f>
        <v>0</v>
      </c>
      <c r="X70" s="433" t="str">
        <f ca="1">IF($Y70&gt;0,CHOOSE(MATCH(RegimeExecucao,{"Unitário","Global"},0),IF($A70="S",ROUND($H70,ORÇAMENTO!$AF$10),""),ROUND($I70,ORÇAMENTO!$AF$11)),"")</f>
        <v/>
      </c>
      <c r="Y70" s="433">
        <f t="shared" ca="1" si="11"/>
        <v>0</v>
      </c>
      <c r="Z70" s="434"/>
      <c r="AB70" s="431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432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3" t="str">
        <f t="shared" ca="1" si="1"/>
        <v/>
      </c>
      <c r="D71" s="146" t="str">
        <f ca="1">ORÇAMENTO!O71</f>
        <v>-</v>
      </c>
      <c r="E71" s="206">
        <f t="shared" si="2"/>
        <v>190</v>
      </c>
      <c r="F71" s="207" t="str">
        <f t="shared" ca="1" si="3"/>
        <v>-</v>
      </c>
      <c r="G71" s="151">
        <f ca="1">IF(RegimeExecucao="Global","",ORÇAMENTO!T71)</f>
        <v>0</v>
      </c>
      <c r="H71" s="151">
        <f ca="1">IF(RegimeExecucao="Global","",ORÇAMENTO!W71)</f>
        <v>0</v>
      </c>
      <c r="I71" s="154">
        <f ca="1">ORÇAMENTO!X71</f>
        <v>0</v>
      </c>
      <c r="J71" s="427">
        <f t="shared" ca="1" si="4"/>
        <v>0</v>
      </c>
      <c r="K71" s="151">
        <f t="shared" ca="1" si="5"/>
        <v>0</v>
      </c>
      <c r="L71" s="428">
        <f t="shared" ca="1" si="6"/>
        <v>0</v>
      </c>
      <c r="M71" s="429">
        <f ca="1">IF($A71="S",VTOTALBM,IF($A71=0,0,ROUND(SomaAgrupBM,15-13*ORÇAMENTO!$AF$11)))</f>
        <v>0</v>
      </c>
      <c r="N71" s="430">
        <f t="shared" ca="1" si="7"/>
        <v>0</v>
      </c>
      <c r="O71" s="154">
        <f ca="1">IF($A71="S",VTOTALBM,IF($A71=0,0,ROUND(SomaAgrupBM,15-13*ORÇAMENTO!$AF$11)))</f>
        <v>0</v>
      </c>
      <c r="Q71" s="431"/>
      <c r="R71" s="432"/>
      <c r="T71" s="146" t="str">
        <f t="shared" ca="1" si="8"/>
        <v/>
      </c>
      <c r="U71" s="206" t="str">
        <f t="shared" ca="1" si="9"/>
        <v/>
      </c>
      <c r="V71" s="207" t="str">
        <f t="shared" ca="1" si="10"/>
        <v/>
      </c>
      <c r="W71" s="595">
        <f ca="1">IF($Y71&gt;0,CHOOSE(MATCH(RegimeExecucao,{"Unitário","Global"},0),IF($A71="S",$Y71/$X71,""),($Y71/$X71)*100),0)</f>
        <v>0</v>
      </c>
      <c r="X71" s="433" t="str">
        <f ca="1">IF($Y71&gt;0,CHOOSE(MATCH(RegimeExecucao,{"Unitário","Global"},0),IF($A71="S",ROUND($H71,ORÇAMENTO!$AF$10),""),ROUND($I71,ORÇAMENTO!$AF$11)),"")</f>
        <v/>
      </c>
      <c r="Y71" s="433">
        <f t="shared" ca="1" si="11"/>
        <v>0</v>
      </c>
      <c r="Z71" s="434"/>
      <c r="AB71" s="431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432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3" t="str">
        <f t="shared" ca="1" si="1"/>
        <v/>
      </c>
      <c r="D72" s="146" t="str">
        <f ca="1">ORÇAMENTO!O72</f>
        <v>-</v>
      </c>
      <c r="E72" s="206" t="str">
        <f t="shared" ca="1" si="2"/>
        <v>(abra o arquivo 'Referência 05-2023.xls)</v>
      </c>
      <c r="F72" s="207" t="str">
        <f t="shared" ca="1" si="3"/>
        <v>-</v>
      </c>
      <c r="G72" s="151">
        <f ca="1">IF(RegimeExecucao="Global","",ORÇAMENTO!T72)</f>
        <v>0</v>
      </c>
      <c r="H72" s="151">
        <f ca="1">IF(RegimeExecucao="Global","",ORÇAMENTO!W72)</f>
        <v>0</v>
      </c>
      <c r="I72" s="154">
        <f ca="1">ORÇAMENTO!X72</f>
        <v>0</v>
      </c>
      <c r="J72" s="427">
        <f t="shared" ca="1" si="4"/>
        <v>0</v>
      </c>
      <c r="K72" s="151">
        <f t="shared" ca="1" si="5"/>
        <v>0</v>
      </c>
      <c r="L72" s="428">
        <f t="shared" ca="1" si="6"/>
        <v>0</v>
      </c>
      <c r="M72" s="429">
        <f ca="1">IF($A72="S",VTOTALBM,IF($A72=0,0,ROUND(SomaAgrupBM,15-13*ORÇAMENTO!$AF$11)))</f>
        <v>0</v>
      </c>
      <c r="N72" s="430">
        <f t="shared" ca="1" si="7"/>
        <v>0</v>
      </c>
      <c r="O72" s="154">
        <f ca="1">IF($A72="S",VTOTALBM,IF($A72=0,0,ROUND(SomaAgrupBM,15-13*ORÇAMENTO!$AF$11)))</f>
        <v>0</v>
      </c>
      <c r="Q72" s="431"/>
      <c r="R72" s="432"/>
      <c r="T72" s="146" t="str">
        <f t="shared" ca="1" si="8"/>
        <v/>
      </c>
      <c r="U72" s="206" t="str">
        <f t="shared" ca="1" si="9"/>
        <v/>
      </c>
      <c r="V72" s="207" t="str">
        <f t="shared" ca="1" si="10"/>
        <v/>
      </c>
      <c r="W72" s="595">
        <f ca="1">IF($Y72&gt;0,CHOOSE(MATCH(RegimeExecucao,{"Unitário","Global"},0),IF($A72="S",$Y72/$X72,""),($Y72/$X72)*100),0)</f>
        <v>0</v>
      </c>
      <c r="X72" s="433" t="str">
        <f ca="1">IF($Y72&gt;0,CHOOSE(MATCH(RegimeExecucao,{"Unitário","Global"},0),IF($A72="S",ROUND($H72,ORÇAMENTO!$AF$10),""),ROUND($I72,ORÇAMENTO!$AF$11)),"")</f>
        <v/>
      </c>
      <c r="Y72" s="433">
        <f t="shared" ca="1" si="11"/>
        <v>0</v>
      </c>
      <c r="Z72" s="434"/>
      <c r="AB72" s="431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432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3" t="str">
        <f t="shared" ca="1" si="1"/>
        <v/>
      </c>
      <c r="D73" s="146" t="str">
        <f ca="1">ORÇAMENTO!O73</f>
        <v>-</v>
      </c>
      <c r="E73" s="206" t="str">
        <f t="shared" ca="1" si="2"/>
        <v>(abra o arquivo 'Referência 05-2023.xls)</v>
      </c>
      <c r="F73" s="207" t="str">
        <f t="shared" ca="1" si="3"/>
        <v>-</v>
      </c>
      <c r="G73" s="151">
        <f ca="1">IF(RegimeExecucao="Global","",ORÇAMENTO!T73)</f>
        <v>0</v>
      </c>
      <c r="H73" s="151">
        <f ca="1">IF(RegimeExecucao="Global","",ORÇAMENTO!W73)</f>
        <v>0</v>
      </c>
      <c r="I73" s="154">
        <f ca="1">ORÇAMENTO!X73</f>
        <v>0</v>
      </c>
      <c r="J73" s="427">
        <f t="shared" ca="1" si="4"/>
        <v>0</v>
      </c>
      <c r="K73" s="151">
        <f t="shared" ca="1" si="5"/>
        <v>0</v>
      </c>
      <c r="L73" s="428">
        <f t="shared" ca="1" si="6"/>
        <v>0</v>
      </c>
      <c r="M73" s="429">
        <f ca="1">IF($A73="S",VTOTALBM,IF($A73=0,0,ROUND(SomaAgrupBM,15-13*ORÇAMENTO!$AF$11)))</f>
        <v>0</v>
      </c>
      <c r="N73" s="430">
        <f t="shared" ca="1" si="7"/>
        <v>0</v>
      </c>
      <c r="O73" s="154">
        <f ca="1">IF($A73="S",VTOTALBM,IF($A73=0,0,ROUND(SomaAgrupBM,15-13*ORÇAMENTO!$AF$11)))</f>
        <v>0</v>
      </c>
      <c r="Q73" s="431"/>
      <c r="R73" s="432"/>
      <c r="T73" s="146" t="str">
        <f t="shared" ca="1" si="8"/>
        <v/>
      </c>
      <c r="U73" s="206" t="str">
        <f t="shared" ca="1" si="9"/>
        <v/>
      </c>
      <c r="V73" s="207" t="str">
        <f t="shared" ca="1" si="10"/>
        <v/>
      </c>
      <c r="W73" s="595">
        <f ca="1">IF($Y73&gt;0,CHOOSE(MATCH(RegimeExecucao,{"Unitário","Global"},0),IF($A73="S",$Y73/$X73,""),($Y73/$X73)*100),0)</f>
        <v>0</v>
      </c>
      <c r="X73" s="433" t="str">
        <f ca="1">IF($Y73&gt;0,CHOOSE(MATCH(RegimeExecucao,{"Unitário","Global"},0),IF($A73="S",ROUND($H73,ORÇAMENTO!$AF$10),""),ROUND($I73,ORÇAMENTO!$AF$11)),"")</f>
        <v/>
      </c>
      <c r="Y73" s="433">
        <f t="shared" ca="1" si="11"/>
        <v>0</v>
      </c>
      <c r="Z73" s="434"/>
      <c r="AB73" s="431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432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3" t="str">
        <f t="shared" ca="1" si="1"/>
        <v/>
      </c>
      <c r="D74" s="146" t="str">
        <f ca="1">ORÇAMENTO!O74</f>
        <v>-</v>
      </c>
      <c r="E74" s="206" t="str">
        <f t="shared" ca="1" si="2"/>
        <v>(abra o arquivo 'Referência 05-2023.xls)</v>
      </c>
      <c r="F74" s="207" t="str">
        <f t="shared" ca="1" si="3"/>
        <v>-</v>
      </c>
      <c r="G74" s="151">
        <f ca="1">IF(RegimeExecucao="Global","",ORÇAMENTO!T74)</f>
        <v>0</v>
      </c>
      <c r="H74" s="151">
        <f ca="1">IF(RegimeExecucao="Global","",ORÇAMENTO!W74)</f>
        <v>0</v>
      </c>
      <c r="I74" s="154">
        <f ca="1">ORÇAMENTO!X74</f>
        <v>0</v>
      </c>
      <c r="J74" s="427">
        <f t="shared" ca="1" si="4"/>
        <v>0</v>
      </c>
      <c r="K74" s="151">
        <f t="shared" ca="1" si="5"/>
        <v>0</v>
      </c>
      <c r="L74" s="428">
        <f t="shared" ca="1" si="6"/>
        <v>0</v>
      </c>
      <c r="M74" s="429">
        <f ca="1">IF($A74="S",VTOTALBM,IF($A74=0,0,ROUND(SomaAgrupBM,15-13*ORÇAMENTO!$AF$11)))</f>
        <v>0</v>
      </c>
      <c r="N74" s="430">
        <f t="shared" ca="1" si="7"/>
        <v>0</v>
      </c>
      <c r="O74" s="154">
        <f ca="1">IF($A74="S",VTOTALBM,IF($A74=0,0,ROUND(SomaAgrupBM,15-13*ORÇAMENTO!$AF$11)))</f>
        <v>0</v>
      </c>
      <c r="Q74" s="431"/>
      <c r="R74" s="432"/>
      <c r="T74" s="146" t="str">
        <f t="shared" ca="1" si="8"/>
        <v/>
      </c>
      <c r="U74" s="206" t="str">
        <f t="shared" ca="1" si="9"/>
        <v/>
      </c>
      <c r="V74" s="207" t="str">
        <f t="shared" ca="1" si="10"/>
        <v/>
      </c>
      <c r="W74" s="595">
        <f ca="1">IF($Y74&gt;0,CHOOSE(MATCH(RegimeExecucao,{"Unitário","Global"},0),IF($A74="S",$Y74/$X74,""),($Y74/$X74)*100),0)</f>
        <v>0</v>
      </c>
      <c r="X74" s="433" t="str">
        <f ca="1">IF($Y74&gt;0,CHOOSE(MATCH(RegimeExecucao,{"Unitário","Global"},0),IF($A74="S",ROUND($H74,ORÇAMENTO!$AF$10),""),ROUND($I74,ORÇAMENTO!$AF$11)),"")</f>
        <v/>
      </c>
      <c r="Y74" s="433">
        <f t="shared" ca="1" si="11"/>
        <v>0</v>
      </c>
      <c r="Z74" s="434"/>
      <c r="AB74" s="431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432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3" t="str">
        <f t="shared" ca="1" si="1"/>
        <v/>
      </c>
      <c r="D75" s="146" t="str">
        <f ca="1">ORÇAMENTO!O75</f>
        <v>-</v>
      </c>
      <c r="E75" s="206" t="str">
        <f t="shared" ca="1" si="2"/>
        <v>(abra o arquivo 'Referência 05-2023.xls)</v>
      </c>
      <c r="F75" s="207" t="str">
        <f t="shared" ca="1" si="3"/>
        <v>-</v>
      </c>
      <c r="G75" s="151">
        <f ca="1">IF(RegimeExecucao="Global","",ORÇAMENTO!T75)</f>
        <v>0</v>
      </c>
      <c r="H75" s="151">
        <f ca="1">IF(RegimeExecucao="Global","",ORÇAMENTO!W75)</f>
        <v>0</v>
      </c>
      <c r="I75" s="154">
        <f ca="1">ORÇAMENTO!X75</f>
        <v>0</v>
      </c>
      <c r="J75" s="427">
        <f t="shared" ca="1" si="4"/>
        <v>0</v>
      </c>
      <c r="K75" s="151">
        <f t="shared" ca="1" si="5"/>
        <v>0</v>
      </c>
      <c r="L75" s="428">
        <f t="shared" ca="1" si="6"/>
        <v>0</v>
      </c>
      <c r="M75" s="429">
        <f ca="1">IF($A75="S",VTOTALBM,IF($A75=0,0,ROUND(SomaAgrupBM,15-13*ORÇAMENTO!$AF$11)))</f>
        <v>0</v>
      </c>
      <c r="N75" s="430">
        <f t="shared" ca="1" si="7"/>
        <v>0</v>
      </c>
      <c r="O75" s="154">
        <f ca="1">IF($A75="S",VTOTALBM,IF($A75=0,0,ROUND(SomaAgrupBM,15-13*ORÇAMENTO!$AF$11)))</f>
        <v>0</v>
      </c>
      <c r="Q75" s="431"/>
      <c r="R75" s="432"/>
      <c r="T75" s="146" t="str">
        <f t="shared" ca="1" si="8"/>
        <v/>
      </c>
      <c r="U75" s="206" t="str">
        <f t="shared" ca="1" si="9"/>
        <v/>
      </c>
      <c r="V75" s="207" t="str">
        <f t="shared" ca="1" si="10"/>
        <v/>
      </c>
      <c r="W75" s="595">
        <f ca="1">IF($Y75&gt;0,CHOOSE(MATCH(RegimeExecucao,{"Unitário","Global"},0),IF($A75="S",$Y75/$X75,""),($Y75/$X75)*100),0)</f>
        <v>0</v>
      </c>
      <c r="X75" s="433" t="str">
        <f ca="1">IF($Y75&gt;0,CHOOSE(MATCH(RegimeExecucao,{"Unitário","Global"},0),IF($A75="S",ROUND($H75,ORÇAMENTO!$AF$10),""),ROUND($I75,ORÇAMENTO!$AF$11)),"")</f>
        <v/>
      </c>
      <c r="Y75" s="433">
        <f t="shared" ca="1" si="11"/>
        <v>0</v>
      </c>
      <c r="Z75" s="434"/>
      <c r="AB75" s="431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432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3" t="str">
        <f t="shared" ca="1" si="1"/>
        <v/>
      </c>
      <c r="D76" s="146" t="str">
        <f ca="1">ORÇAMENTO!O76</f>
        <v>-</v>
      </c>
      <c r="E76" s="206" t="str">
        <f t="shared" ca="1" si="2"/>
        <v>(abra o arquivo 'Referência 05-2023.xls)</v>
      </c>
      <c r="F76" s="207" t="str">
        <f t="shared" ca="1" si="3"/>
        <v>-</v>
      </c>
      <c r="G76" s="151">
        <f ca="1">IF(RegimeExecucao="Global","",ORÇAMENTO!T76)</f>
        <v>0</v>
      </c>
      <c r="H76" s="151">
        <f ca="1">IF(RegimeExecucao="Global","",ORÇAMENTO!W76)</f>
        <v>0</v>
      </c>
      <c r="I76" s="154">
        <f ca="1">ORÇAMENTO!X76</f>
        <v>0</v>
      </c>
      <c r="J76" s="427">
        <f t="shared" ca="1" si="4"/>
        <v>0</v>
      </c>
      <c r="K76" s="151">
        <f t="shared" ca="1" si="5"/>
        <v>0</v>
      </c>
      <c r="L76" s="428">
        <f t="shared" ca="1" si="6"/>
        <v>0</v>
      </c>
      <c r="M76" s="429">
        <f ca="1">IF($A76="S",VTOTALBM,IF($A76=0,0,ROUND(SomaAgrupBM,15-13*ORÇAMENTO!$AF$11)))</f>
        <v>0</v>
      </c>
      <c r="N76" s="430">
        <f t="shared" ca="1" si="7"/>
        <v>0</v>
      </c>
      <c r="O76" s="154">
        <f ca="1">IF($A76="S",VTOTALBM,IF($A76=0,0,ROUND(SomaAgrupBM,15-13*ORÇAMENTO!$AF$11)))</f>
        <v>0</v>
      </c>
      <c r="Q76" s="431"/>
      <c r="R76" s="432"/>
      <c r="T76" s="146" t="str">
        <f t="shared" ca="1" si="8"/>
        <v/>
      </c>
      <c r="U76" s="206" t="str">
        <f t="shared" ca="1" si="9"/>
        <v/>
      </c>
      <c r="V76" s="207" t="str">
        <f t="shared" ca="1" si="10"/>
        <v/>
      </c>
      <c r="W76" s="595">
        <f ca="1">IF($Y76&gt;0,CHOOSE(MATCH(RegimeExecucao,{"Unitário","Global"},0),IF($A76="S",$Y76/$X76,""),($Y76/$X76)*100),0)</f>
        <v>0</v>
      </c>
      <c r="X76" s="433" t="str">
        <f ca="1">IF($Y76&gt;0,CHOOSE(MATCH(RegimeExecucao,{"Unitário","Global"},0),IF($A76="S",ROUND($H76,ORÇAMENTO!$AF$10),""),ROUND($I76,ORÇAMENTO!$AF$11)),"")</f>
        <v/>
      </c>
      <c r="Y76" s="433">
        <f t="shared" ca="1" si="11"/>
        <v>0</v>
      </c>
      <c r="Z76" s="434"/>
      <c r="AB76" s="431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432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3" t="str">
        <f t="shared" ca="1" si="1"/>
        <v/>
      </c>
      <c r="D77" s="146" t="str">
        <f ca="1">ORÇAMENTO!O77</f>
        <v>-</v>
      </c>
      <c r="E77" s="206" t="str">
        <f t="shared" ca="1" si="2"/>
        <v>(abra o arquivo 'Referência 05-2023.xls)</v>
      </c>
      <c r="F77" s="207" t="str">
        <f t="shared" ca="1" si="3"/>
        <v>-</v>
      </c>
      <c r="G77" s="151">
        <f ca="1">IF(RegimeExecucao="Global","",ORÇAMENTO!T77)</f>
        <v>0</v>
      </c>
      <c r="H77" s="151">
        <f ca="1">IF(RegimeExecucao="Global","",ORÇAMENTO!W77)</f>
        <v>0</v>
      </c>
      <c r="I77" s="154">
        <f ca="1">ORÇAMENTO!X77</f>
        <v>0</v>
      </c>
      <c r="J77" s="427">
        <f t="shared" ca="1" si="4"/>
        <v>0</v>
      </c>
      <c r="K77" s="151">
        <f t="shared" ca="1" si="5"/>
        <v>0</v>
      </c>
      <c r="L77" s="428">
        <f t="shared" ca="1" si="6"/>
        <v>0</v>
      </c>
      <c r="M77" s="429">
        <f ca="1">IF($A77="S",VTOTALBM,IF($A77=0,0,ROUND(SomaAgrupBM,15-13*ORÇAMENTO!$AF$11)))</f>
        <v>0</v>
      </c>
      <c r="N77" s="430">
        <f t="shared" ca="1" si="7"/>
        <v>0</v>
      </c>
      <c r="O77" s="154">
        <f ca="1">IF($A77="S",VTOTALBM,IF($A77=0,0,ROUND(SomaAgrupBM,15-13*ORÇAMENTO!$AF$11)))</f>
        <v>0</v>
      </c>
      <c r="Q77" s="431"/>
      <c r="R77" s="432"/>
      <c r="T77" s="146" t="str">
        <f t="shared" ca="1" si="8"/>
        <v/>
      </c>
      <c r="U77" s="206" t="str">
        <f t="shared" ca="1" si="9"/>
        <v/>
      </c>
      <c r="V77" s="207" t="str">
        <f t="shared" ca="1" si="10"/>
        <v/>
      </c>
      <c r="W77" s="595">
        <f ca="1">IF($Y77&gt;0,CHOOSE(MATCH(RegimeExecucao,{"Unitário","Global"},0),IF($A77="S",$Y77/$X77,""),($Y77/$X77)*100),0)</f>
        <v>0</v>
      </c>
      <c r="X77" s="433" t="str">
        <f ca="1">IF($Y77&gt;0,CHOOSE(MATCH(RegimeExecucao,{"Unitário","Global"},0),IF($A77="S",ROUND($H77,ORÇAMENTO!$AF$10),""),ROUND($I77,ORÇAMENTO!$AF$11)),"")</f>
        <v/>
      </c>
      <c r="Y77" s="433">
        <f t="shared" ca="1" si="11"/>
        <v>0</v>
      </c>
      <c r="Z77" s="434"/>
      <c r="AB77" s="431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432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3" t="str">
        <f t="shared" ca="1" si="1"/>
        <v/>
      </c>
      <c r="D78" s="146" t="str">
        <f ca="1">ORÇAMENTO!O78</f>
        <v>-</v>
      </c>
      <c r="E78" s="206" t="str">
        <f t="shared" ca="1" si="2"/>
        <v>(abra o arquivo 'Referência 05-2023.xls)</v>
      </c>
      <c r="F78" s="207" t="str">
        <f t="shared" ca="1" si="3"/>
        <v>-</v>
      </c>
      <c r="G78" s="151">
        <f ca="1">IF(RegimeExecucao="Global","",ORÇAMENTO!T78)</f>
        <v>0</v>
      </c>
      <c r="H78" s="151">
        <f ca="1">IF(RegimeExecucao="Global","",ORÇAMENTO!W78)</f>
        <v>0</v>
      </c>
      <c r="I78" s="154">
        <f ca="1">ORÇAMENTO!X78</f>
        <v>0</v>
      </c>
      <c r="J78" s="427">
        <f t="shared" ca="1" si="4"/>
        <v>0</v>
      </c>
      <c r="K78" s="151">
        <f t="shared" ca="1" si="5"/>
        <v>0</v>
      </c>
      <c r="L78" s="428">
        <f t="shared" ca="1" si="6"/>
        <v>0</v>
      </c>
      <c r="M78" s="429">
        <f ca="1">IF($A78="S",VTOTALBM,IF($A78=0,0,ROUND(SomaAgrupBM,15-13*ORÇAMENTO!$AF$11)))</f>
        <v>0</v>
      </c>
      <c r="N78" s="430">
        <f t="shared" ca="1" si="7"/>
        <v>0</v>
      </c>
      <c r="O78" s="154">
        <f ca="1">IF($A78="S",VTOTALBM,IF($A78=0,0,ROUND(SomaAgrupBM,15-13*ORÇAMENTO!$AF$11)))</f>
        <v>0</v>
      </c>
      <c r="Q78" s="431"/>
      <c r="R78" s="432"/>
      <c r="T78" s="146" t="str">
        <f t="shared" ca="1" si="8"/>
        <v/>
      </c>
      <c r="U78" s="206" t="str">
        <f t="shared" ca="1" si="9"/>
        <v/>
      </c>
      <c r="V78" s="207" t="str">
        <f t="shared" ca="1" si="10"/>
        <v/>
      </c>
      <c r="W78" s="595">
        <f ca="1">IF($Y78&gt;0,CHOOSE(MATCH(RegimeExecucao,{"Unitário","Global"},0),IF($A78="S",$Y78/$X78,""),($Y78/$X78)*100),0)</f>
        <v>0</v>
      </c>
      <c r="X78" s="433" t="str">
        <f ca="1">IF($Y78&gt;0,CHOOSE(MATCH(RegimeExecucao,{"Unitário","Global"},0),IF($A78="S",ROUND($H78,ORÇAMENTO!$AF$10),""),ROUND($I78,ORÇAMENTO!$AF$11)),"")</f>
        <v/>
      </c>
      <c r="Y78" s="433">
        <f t="shared" ca="1" si="11"/>
        <v>0</v>
      </c>
      <c r="Z78" s="434"/>
      <c r="AB78" s="431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432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3" t="str">
        <f t="shared" ca="1" si="1"/>
        <v/>
      </c>
      <c r="D79" s="146" t="str">
        <f ca="1">ORÇAMENTO!O79</f>
        <v>-</v>
      </c>
      <c r="E79" s="206" t="str">
        <f t="shared" ca="1" si="2"/>
        <v>(abra o arquivo 'Referência 05-2023.xls)</v>
      </c>
      <c r="F79" s="207" t="str">
        <f t="shared" ca="1" si="3"/>
        <v>-</v>
      </c>
      <c r="G79" s="151">
        <f ca="1">IF(RegimeExecucao="Global","",ORÇAMENTO!T79)</f>
        <v>0</v>
      </c>
      <c r="H79" s="151">
        <f ca="1">IF(RegimeExecucao="Global","",ORÇAMENTO!W79)</f>
        <v>0</v>
      </c>
      <c r="I79" s="154">
        <f ca="1">ORÇAMENTO!X79</f>
        <v>0</v>
      </c>
      <c r="J79" s="427">
        <f t="shared" ca="1" si="4"/>
        <v>0</v>
      </c>
      <c r="K79" s="151">
        <f t="shared" ca="1" si="5"/>
        <v>0</v>
      </c>
      <c r="L79" s="428">
        <f t="shared" ca="1" si="6"/>
        <v>0</v>
      </c>
      <c r="M79" s="429">
        <f ca="1">IF($A79="S",VTOTALBM,IF($A79=0,0,ROUND(SomaAgrupBM,15-13*ORÇAMENTO!$AF$11)))</f>
        <v>0</v>
      </c>
      <c r="N79" s="430">
        <f t="shared" ca="1" si="7"/>
        <v>0</v>
      </c>
      <c r="O79" s="154">
        <f ca="1">IF($A79="S",VTOTALBM,IF($A79=0,0,ROUND(SomaAgrupBM,15-13*ORÇAMENTO!$AF$11)))</f>
        <v>0</v>
      </c>
      <c r="Q79" s="431"/>
      <c r="R79" s="432"/>
      <c r="T79" s="146" t="str">
        <f t="shared" ca="1" si="8"/>
        <v/>
      </c>
      <c r="U79" s="206" t="str">
        <f t="shared" ca="1" si="9"/>
        <v/>
      </c>
      <c r="V79" s="207" t="str">
        <f t="shared" ca="1" si="10"/>
        <v/>
      </c>
      <c r="W79" s="595">
        <f ca="1">IF($Y79&gt;0,CHOOSE(MATCH(RegimeExecucao,{"Unitário","Global"},0),IF($A79="S",$Y79/$X79,""),($Y79/$X79)*100),0)</f>
        <v>0</v>
      </c>
      <c r="X79" s="433" t="str">
        <f ca="1">IF($Y79&gt;0,CHOOSE(MATCH(RegimeExecucao,{"Unitário","Global"},0),IF($A79="S",ROUND($H79,ORÇAMENTO!$AF$10),""),ROUND($I79,ORÇAMENTO!$AF$11)),"")</f>
        <v/>
      </c>
      <c r="Y79" s="433">
        <f t="shared" ca="1" si="11"/>
        <v>0</v>
      </c>
      <c r="Z79" s="434"/>
      <c r="AB79" s="431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432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3" t="str">
        <f t="shared" ref="C80:C143" ca="1" si="12">IF(OR($I80&gt;0,$A80=1,$A80=2,$A80=3,$A80=4),"F","")</f>
        <v/>
      </c>
      <c r="D80" s="146" t="str">
        <f ca="1">ORÇAMENTO!O80</f>
        <v>-</v>
      </c>
      <c r="E80" s="206" t="str">
        <f t="shared" ref="E80:E143" ca="1" si="13">ORÇAMENTO.Descricao</f>
        <v>(abra o arquivo 'Referência 05-2023.xls)</v>
      </c>
      <c r="F80" s="207" t="str">
        <f t="shared" ref="F80:F143" ca="1" si="14">IF(RegimeExecucao="Global","",ORÇAMENTO.Unidade)</f>
        <v>-</v>
      </c>
      <c r="G80" s="151">
        <f ca="1">IF(RegimeExecucao="Global","",ORÇAMENTO!T80)</f>
        <v>0</v>
      </c>
      <c r="H80" s="151">
        <f ca="1">IF(RegimeExecucao="Global","",ORÇAMENTO!W80)</f>
        <v>0</v>
      </c>
      <c r="I80" s="154">
        <f ca="1">ORÇAMENTO!X80</f>
        <v>0</v>
      </c>
      <c r="J80" s="427">
        <f t="shared" ref="J80:J143" ca="1" si="15">IF($A80="S",IF(CAIXA.Modo,BM.AFAnterior,BM.MEDAnterior),IF(AND(RegimeExecucao="Global",$I80&gt;0,COUNTIF($AB$13:$AM$13,BM.medicao-1)&gt;0),M80/$I80*100,0))</f>
        <v>0</v>
      </c>
      <c r="K80" s="151">
        <f t="shared" ref="K80:K143" ca="1" si="16">L80-J80</f>
        <v>0</v>
      </c>
      <c r="L80" s="428">
        <f t="shared" ref="L80:L143" ca="1" si="17">IF($A80="S",IF(CAIXA.Modo,BM.AFAcumulado,BM.MEDAcumulado),IF(AND(RegimeExecucao="Global",$I80&gt;0,COUNTIF($AB$13:$AM$13,BM.medicao)&gt;0),O80/$I80*100,0))</f>
        <v>0</v>
      </c>
      <c r="M80" s="429">
        <f ca="1">IF($A80="S",VTOTALBM,IF($A80=0,0,ROUND(SomaAgrupBM,15-13*ORÇAMENTO!$AF$11)))</f>
        <v>0</v>
      </c>
      <c r="N80" s="430">
        <f t="shared" ref="N80:N143" ca="1" si="18">O80-M80</f>
        <v>0</v>
      </c>
      <c r="O80" s="154">
        <f ca="1">IF($A80="S",VTOTALBM,IF($A80=0,0,ROUND(SomaAgrupBM,15-13*ORÇAMENTO!$AF$11)))</f>
        <v>0</v>
      </c>
      <c r="Q80" s="431"/>
      <c r="R80" s="432"/>
      <c r="T80" s="146" t="str">
        <f t="shared" ref="T80:T143" ca="1" si="19">IF($W80&gt;0,$D80,"")</f>
        <v/>
      </c>
      <c r="U80" s="206" t="str">
        <f t="shared" ref="U80:U143" ca="1" si="20">IF($W80&gt;0,$E80,"")</f>
        <v/>
      </c>
      <c r="V80" s="207" t="str">
        <f t="shared" ref="V80:V143" ca="1" si="21">IF(AND($W80&gt;0,RegimeExecucao="Unitário"),$F80,"")</f>
        <v/>
      </c>
      <c r="W80" s="595">
        <f ca="1">IF($Y80&gt;0,CHOOSE(MATCH(RegimeExecucao,{"Unitário","Global"},0),IF($A80="S",$Y80/$X80,""),($Y80/$X80)*100),0)</f>
        <v>0</v>
      </c>
      <c r="X80" s="433" t="str">
        <f ca="1">IF($Y80&gt;0,CHOOSE(MATCH(RegimeExecucao,{"Unitário","Global"},0),IF($A80="S",ROUND($H80,ORÇAMENTO!$AF$10),""),ROUND($I80,ORÇAMENTO!$AF$11)),"")</f>
        <v/>
      </c>
      <c r="Y80" s="433">
        <f t="shared" ref="Y80:Y143" ca="1" si="22">AO80-O80</f>
        <v>0</v>
      </c>
      <c r="Z80" s="434"/>
      <c r="AB80" s="431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432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3" t="str">
        <f t="shared" ca="1" si="12"/>
        <v/>
      </c>
      <c r="D81" s="146" t="str">
        <f ca="1">ORÇAMENTO!O81</f>
        <v>-</v>
      </c>
      <c r="E81" s="206" t="str">
        <f t="shared" ca="1" si="13"/>
        <v>(abra o arquivo 'Referência 05-2023.xls)</v>
      </c>
      <c r="F81" s="207" t="str">
        <f t="shared" ca="1" si="14"/>
        <v>-</v>
      </c>
      <c r="G81" s="151">
        <f ca="1">IF(RegimeExecucao="Global","",ORÇAMENTO!T81)</f>
        <v>0</v>
      </c>
      <c r="H81" s="151">
        <f ca="1">IF(RegimeExecucao="Global","",ORÇAMENTO!W81)</f>
        <v>0</v>
      </c>
      <c r="I81" s="154">
        <f ca="1">ORÇAMENTO!X81</f>
        <v>0</v>
      </c>
      <c r="J81" s="427">
        <f t="shared" ca="1" si="15"/>
        <v>0</v>
      </c>
      <c r="K81" s="151">
        <f t="shared" ca="1" si="16"/>
        <v>0</v>
      </c>
      <c r="L81" s="428">
        <f t="shared" ca="1" si="17"/>
        <v>0</v>
      </c>
      <c r="M81" s="429">
        <f ca="1">IF($A81="S",VTOTALBM,IF($A81=0,0,ROUND(SomaAgrupBM,15-13*ORÇAMENTO!$AF$11)))</f>
        <v>0</v>
      </c>
      <c r="N81" s="430">
        <f t="shared" ca="1" si="18"/>
        <v>0</v>
      </c>
      <c r="O81" s="154">
        <f ca="1">IF($A81="S",VTOTALBM,IF($A81=0,0,ROUND(SomaAgrupBM,15-13*ORÇAMENTO!$AF$11)))</f>
        <v>0</v>
      </c>
      <c r="Q81" s="431"/>
      <c r="R81" s="432"/>
      <c r="T81" s="146" t="str">
        <f t="shared" ca="1" si="19"/>
        <v/>
      </c>
      <c r="U81" s="206" t="str">
        <f t="shared" ca="1" si="20"/>
        <v/>
      </c>
      <c r="V81" s="207" t="str">
        <f t="shared" ca="1" si="21"/>
        <v/>
      </c>
      <c r="W81" s="595">
        <f ca="1">IF($Y81&gt;0,CHOOSE(MATCH(RegimeExecucao,{"Unitário","Global"},0),IF($A81="S",$Y81/$X81,""),($Y81/$X81)*100),0)</f>
        <v>0</v>
      </c>
      <c r="X81" s="433" t="str">
        <f ca="1">IF($Y81&gt;0,CHOOSE(MATCH(RegimeExecucao,{"Unitário","Global"},0),IF($A81="S",ROUND($H81,ORÇAMENTO!$AF$10),""),ROUND($I81,ORÇAMENTO!$AF$11)),"")</f>
        <v/>
      </c>
      <c r="Y81" s="433">
        <f t="shared" ca="1" si="22"/>
        <v>0</v>
      </c>
      <c r="Z81" s="434"/>
      <c r="AB81" s="431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432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3" t="str">
        <f t="shared" ca="1" si="12"/>
        <v/>
      </c>
      <c r="D82" s="146" t="str">
        <f ca="1">ORÇAMENTO!O82</f>
        <v>-</v>
      </c>
      <c r="E82" s="206" t="str">
        <f t="shared" ca="1" si="13"/>
        <v>(abra o arquivo 'Referência 05-2023.xls)</v>
      </c>
      <c r="F82" s="207" t="str">
        <f t="shared" ca="1" si="14"/>
        <v>-</v>
      </c>
      <c r="G82" s="151">
        <f ca="1">IF(RegimeExecucao="Global","",ORÇAMENTO!T82)</f>
        <v>0</v>
      </c>
      <c r="H82" s="151">
        <f ca="1">IF(RegimeExecucao="Global","",ORÇAMENTO!W82)</f>
        <v>0</v>
      </c>
      <c r="I82" s="154">
        <f ca="1">ORÇAMENTO!X82</f>
        <v>0</v>
      </c>
      <c r="J82" s="427">
        <f t="shared" ca="1" si="15"/>
        <v>0</v>
      </c>
      <c r="K82" s="151">
        <f t="shared" ca="1" si="16"/>
        <v>0</v>
      </c>
      <c r="L82" s="428">
        <f t="shared" ca="1" si="17"/>
        <v>0</v>
      </c>
      <c r="M82" s="429">
        <f ca="1">IF($A82="S",VTOTALBM,IF($A82=0,0,ROUND(SomaAgrupBM,15-13*ORÇAMENTO!$AF$11)))</f>
        <v>0</v>
      </c>
      <c r="N82" s="430">
        <f t="shared" ca="1" si="18"/>
        <v>0</v>
      </c>
      <c r="O82" s="154">
        <f ca="1">IF($A82="S",VTOTALBM,IF($A82=0,0,ROUND(SomaAgrupBM,15-13*ORÇAMENTO!$AF$11)))</f>
        <v>0</v>
      </c>
      <c r="Q82" s="431"/>
      <c r="R82" s="432"/>
      <c r="T82" s="146" t="str">
        <f t="shared" ca="1" si="19"/>
        <v/>
      </c>
      <c r="U82" s="206" t="str">
        <f t="shared" ca="1" si="20"/>
        <v/>
      </c>
      <c r="V82" s="207" t="str">
        <f t="shared" ca="1" si="21"/>
        <v/>
      </c>
      <c r="W82" s="595">
        <f ca="1">IF($Y82&gt;0,CHOOSE(MATCH(RegimeExecucao,{"Unitário","Global"},0),IF($A82="S",$Y82/$X82,""),($Y82/$X82)*100),0)</f>
        <v>0</v>
      </c>
      <c r="X82" s="433" t="str">
        <f ca="1">IF($Y82&gt;0,CHOOSE(MATCH(RegimeExecucao,{"Unitário","Global"},0),IF($A82="S",ROUND($H82,ORÇAMENTO!$AF$10),""),ROUND($I82,ORÇAMENTO!$AF$11)),"")</f>
        <v/>
      </c>
      <c r="Y82" s="433">
        <f t="shared" ca="1" si="22"/>
        <v>0</v>
      </c>
      <c r="Z82" s="434"/>
      <c r="AB82" s="431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432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3" t="str">
        <f t="shared" ca="1" si="12"/>
        <v/>
      </c>
      <c r="D83" s="146" t="str">
        <f ca="1">ORÇAMENTO!O83</f>
        <v>-</v>
      </c>
      <c r="E83" s="206" t="str">
        <f t="shared" ca="1" si="13"/>
        <v>(abra o arquivo 'Referência 05-2023.xls)</v>
      </c>
      <c r="F83" s="207" t="str">
        <f t="shared" ca="1" si="14"/>
        <v>-</v>
      </c>
      <c r="G83" s="151">
        <f ca="1">IF(RegimeExecucao="Global","",ORÇAMENTO!T83)</f>
        <v>0</v>
      </c>
      <c r="H83" s="151">
        <f ca="1">IF(RegimeExecucao="Global","",ORÇAMENTO!W83)</f>
        <v>0</v>
      </c>
      <c r="I83" s="154">
        <f ca="1">ORÇAMENTO!X83</f>
        <v>0</v>
      </c>
      <c r="J83" s="427">
        <f t="shared" ca="1" si="15"/>
        <v>0</v>
      </c>
      <c r="K83" s="151">
        <f t="shared" ca="1" si="16"/>
        <v>0</v>
      </c>
      <c r="L83" s="428">
        <f t="shared" ca="1" si="17"/>
        <v>0</v>
      </c>
      <c r="M83" s="429">
        <f ca="1">IF($A83="S",VTOTALBM,IF($A83=0,0,ROUND(SomaAgrupBM,15-13*ORÇAMENTO!$AF$11)))</f>
        <v>0</v>
      </c>
      <c r="N83" s="430">
        <f t="shared" ca="1" si="18"/>
        <v>0</v>
      </c>
      <c r="O83" s="154">
        <f ca="1">IF($A83="S",VTOTALBM,IF($A83=0,0,ROUND(SomaAgrupBM,15-13*ORÇAMENTO!$AF$11)))</f>
        <v>0</v>
      </c>
      <c r="Q83" s="431"/>
      <c r="R83" s="432"/>
      <c r="T83" s="146" t="str">
        <f t="shared" ca="1" si="19"/>
        <v/>
      </c>
      <c r="U83" s="206" t="str">
        <f t="shared" ca="1" si="20"/>
        <v/>
      </c>
      <c r="V83" s="207" t="str">
        <f t="shared" ca="1" si="21"/>
        <v/>
      </c>
      <c r="W83" s="595">
        <f ca="1">IF($Y83&gt;0,CHOOSE(MATCH(RegimeExecucao,{"Unitário","Global"},0),IF($A83="S",$Y83/$X83,""),($Y83/$X83)*100),0)</f>
        <v>0</v>
      </c>
      <c r="X83" s="433" t="str">
        <f ca="1">IF($Y83&gt;0,CHOOSE(MATCH(RegimeExecucao,{"Unitário","Global"},0),IF($A83="S",ROUND($H83,ORÇAMENTO!$AF$10),""),ROUND($I83,ORÇAMENTO!$AF$11)),"")</f>
        <v/>
      </c>
      <c r="Y83" s="433">
        <f t="shared" ca="1" si="22"/>
        <v>0</v>
      </c>
      <c r="Z83" s="434"/>
      <c r="AB83" s="431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432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3" t="str">
        <f t="shared" ca="1" si="12"/>
        <v/>
      </c>
      <c r="D84" s="146" t="str">
        <f ca="1">ORÇAMENTO!O84</f>
        <v>-</v>
      </c>
      <c r="E84" s="206" t="str">
        <f t="shared" ca="1" si="13"/>
        <v>(abra o arquivo 'Referência 05-2023.xls)</v>
      </c>
      <c r="F84" s="207" t="str">
        <f t="shared" ca="1" si="14"/>
        <v>-</v>
      </c>
      <c r="G84" s="151">
        <f ca="1">IF(RegimeExecucao="Global","",ORÇAMENTO!T84)</f>
        <v>0</v>
      </c>
      <c r="H84" s="151">
        <f ca="1">IF(RegimeExecucao="Global","",ORÇAMENTO!W84)</f>
        <v>0</v>
      </c>
      <c r="I84" s="154">
        <f ca="1">ORÇAMENTO!X84</f>
        <v>0</v>
      </c>
      <c r="J84" s="427">
        <f t="shared" ca="1" si="15"/>
        <v>0</v>
      </c>
      <c r="K84" s="151">
        <f t="shared" ca="1" si="16"/>
        <v>0</v>
      </c>
      <c r="L84" s="428">
        <f t="shared" ca="1" si="17"/>
        <v>0</v>
      </c>
      <c r="M84" s="429">
        <f ca="1">IF($A84="S",VTOTALBM,IF($A84=0,0,ROUND(SomaAgrupBM,15-13*ORÇAMENTO!$AF$11)))</f>
        <v>0</v>
      </c>
      <c r="N84" s="430">
        <f t="shared" ca="1" si="18"/>
        <v>0</v>
      </c>
      <c r="O84" s="154">
        <f ca="1">IF($A84="S",VTOTALBM,IF($A84=0,0,ROUND(SomaAgrupBM,15-13*ORÇAMENTO!$AF$11)))</f>
        <v>0</v>
      </c>
      <c r="Q84" s="431"/>
      <c r="R84" s="432"/>
      <c r="T84" s="146" t="str">
        <f t="shared" ca="1" si="19"/>
        <v/>
      </c>
      <c r="U84" s="206" t="str">
        <f t="shared" ca="1" si="20"/>
        <v/>
      </c>
      <c r="V84" s="207" t="str">
        <f t="shared" ca="1" si="21"/>
        <v/>
      </c>
      <c r="W84" s="595">
        <f ca="1">IF($Y84&gt;0,CHOOSE(MATCH(RegimeExecucao,{"Unitário","Global"},0),IF($A84="S",$Y84/$X84,""),($Y84/$X84)*100),0)</f>
        <v>0</v>
      </c>
      <c r="X84" s="433" t="str">
        <f ca="1">IF($Y84&gt;0,CHOOSE(MATCH(RegimeExecucao,{"Unitário","Global"},0),IF($A84="S",ROUND($H84,ORÇAMENTO!$AF$10),""),ROUND($I84,ORÇAMENTO!$AF$11)),"")</f>
        <v/>
      </c>
      <c r="Y84" s="433">
        <f t="shared" ca="1" si="22"/>
        <v>0</v>
      </c>
      <c r="Z84" s="434"/>
      <c r="AB84" s="431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432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3" t="str">
        <f t="shared" ca="1" si="12"/>
        <v/>
      </c>
      <c r="D85" s="146" t="str">
        <f ca="1">ORÇAMENTO!O85</f>
        <v>-</v>
      </c>
      <c r="E85" s="206" t="str">
        <f t="shared" ca="1" si="13"/>
        <v>(abra o arquivo 'Referência 05-2023.xls)</v>
      </c>
      <c r="F85" s="207" t="str">
        <f t="shared" ca="1" si="14"/>
        <v>-</v>
      </c>
      <c r="G85" s="151">
        <f ca="1">IF(RegimeExecucao="Global","",ORÇAMENTO!T85)</f>
        <v>0</v>
      </c>
      <c r="H85" s="151">
        <f ca="1">IF(RegimeExecucao="Global","",ORÇAMENTO!W85)</f>
        <v>0</v>
      </c>
      <c r="I85" s="154">
        <f ca="1">ORÇAMENTO!X85</f>
        <v>0</v>
      </c>
      <c r="J85" s="427">
        <f t="shared" ca="1" si="15"/>
        <v>0</v>
      </c>
      <c r="K85" s="151">
        <f t="shared" ca="1" si="16"/>
        <v>0</v>
      </c>
      <c r="L85" s="428">
        <f t="shared" ca="1" si="17"/>
        <v>0</v>
      </c>
      <c r="M85" s="429">
        <f ca="1">IF($A85="S",VTOTALBM,IF($A85=0,0,ROUND(SomaAgrupBM,15-13*ORÇAMENTO!$AF$11)))</f>
        <v>0</v>
      </c>
      <c r="N85" s="430">
        <f t="shared" ca="1" si="18"/>
        <v>0</v>
      </c>
      <c r="O85" s="154">
        <f ca="1">IF($A85="S",VTOTALBM,IF($A85=0,0,ROUND(SomaAgrupBM,15-13*ORÇAMENTO!$AF$11)))</f>
        <v>0</v>
      </c>
      <c r="Q85" s="431"/>
      <c r="R85" s="432"/>
      <c r="T85" s="146" t="str">
        <f t="shared" ca="1" si="19"/>
        <v/>
      </c>
      <c r="U85" s="206" t="str">
        <f t="shared" ca="1" si="20"/>
        <v/>
      </c>
      <c r="V85" s="207" t="str">
        <f t="shared" ca="1" si="21"/>
        <v/>
      </c>
      <c r="W85" s="595">
        <f ca="1">IF($Y85&gt;0,CHOOSE(MATCH(RegimeExecucao,{"Unitário","Global"},0),IF($A85="S",$Y85/$X85,""),($Y85/$X85)*100),0)</f>
        <v>0</v>
      </c>
      <c r="X85" s="433" t="str">
        <f ca="1">IF($Y85&gt;0,CHOOSE(MATCH(RegimeExecucao,{"Unitário","Global"},0),IF($A85="S",ROUND($H85,ORÇAMENTO!$AF$10),""),ROUND($I85,ORÇAMENTO!$AF$11)),"")</f>
        <v/>
      </c>
      <c r="Y85" s="433">
        <f t="shared" ca="1" si="22"/>
        <v>0</v>
      </c>
      <c r="Z85" s="434"/>
      <c r="AB85" s="431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432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3" t="str">
        <f t="shared" ca="1" si="12"/>
        <v/>
      </c>
      <c r="D86" s="146" t="str">
        <f ca="1">ORÇAMENTO!O86</f>
        <v>-</v>
      </c>
      <c r="E86" s="206" t="str">
        <f t="shared" ca="1" si="13"/>
        <v>(abra o arquivo 'Referência 05-2023.xls)</v>
      </c>
      <c r="F86" s="207" t="str">
        <f t="shared" ca="1" si="14"/>
        <v>-</v>
      </c>
      <c r="G86" s="151">
        <f ca="1">IF(RegimeExecucao="Global","",ORÇAMENTO!T86)</f>
        <v>0</v>
      </c>
      <c r="H86" s="151">
        <f ca="1">IF(RegimeExecucao="Global","",ORÇAMENTO!W86)</f>
        <v>0</v>
      </c>
      <c r="I86" s="154">
        <f ca="1">ORÇAMENTO!X86</f>
        <v>0</v>
      </c>
      <c r="J86" s="427">
        <f t="shared" ca="1" si="15"/>
        <v>0</v>
      </c>
      <c r="K86" s="151">
        <f t="shared" ca="1" si="16"/>
        <v>0</v>
      </c>
      <c r="L86" s="428">
        <f t="shared" ca="1" si="17"/>
        <v>0</v>
      </c>
      <c r="M86" s="429">
        <f ca="1">IF($A86="S",VTOTALBM,IF($A86=0,0,ROUND(SomaAgrupBM,15-13*ORÇAMENTO!$AF$11)))</f>
        <v>0</v>
      </c>
      <c r="N86" s="430">
        <f t="shared" ca="1" si="18"/>
        <v>0</v>
      </c>
      <c r="O86" s="154">
        <f ca="1">IF($A86="S",VTOTALBM,IF($A86=0,0,ROUND(SomaAgrupBM,15-13*ORÇAMENTO!$AF$11)))</f>
        <v>0</v>
      </c>
      <c r="Q86" s="431"/>
      <c r="R86" s="432"/>
      <c r="T86" s="146" t="str">
        <f t="shared" ca="1" si="19"/>
        <v/>
      </c>
      <c r="U86" s="206" t="str">
        <f t="shared" ca="1" si="20"/>
        <v/>
      </c>
      <c r="V86" s="207" t="str">
        <f t="shared" ca="1" si="21"/>
        <v/>
      </c>
      <c r="W86" s="595">
        <f ca="1">IF($Y86&gt;0,CHOOSE(MATCH(RegimeExecucao,{"Unitário","Global"},0),IF($A86="S",$Y86/$X86,""),($Y86/$X86)*100),0)</f>
        <v>0</v>
      </c>
      <c r="X86" s="433" t="str">
        <f ca="1">IF($Y86&gt;0,CHOOSE(MATCH(RegimeExecucao,{"Unitário","Global"},0),IF($A86="S",ROUND($H86,ORÇAMENTO!$AF$10),""),ROUND($I86,ORÇAMENTO!$AF$11)),"")</f>
        <v/>
      </c>
      <c r="Y86" s="433">
        <f t="shared" ca="1" si="22"/>
        <v>0</v>
      </c>
      <c r="Z86" s="434"/>
      <c r="AB86" s="431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432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3" t="str">
        <f t="shared" ca="1" si="12"/>
        <v/>
      </c>
      <c r="D87" s="146" t="str">
        <f ca="1">ORÇAMENTO!O87</f>
        <v>-</v>
      </c>
      <c r="E87" s="206" t="str">
        <f t="shared" ca="1" si="13"/>
        <v>(abra o arquivo 'Referência 05-2023.xls)</v>
      </c>
      <c r="F87" s="207" t="str">
        <f t="shared" ca="1" si="14"/>
        <v>-</v>
      </c>
      <c r="G87" s="151">
        <f ca="1">IF(RegimeExecucao="Global","",ORÇAMENTO!T87)</f>
        <v>0</v>
      </c>
      <c r="H87" s="151">
        <f ca="1">IF(RegimeExecucao="Global","",ORÇAMENTO!W87)</f>
        <v>0</v>
      </c>
      <c r="I87" s="154">
        <f ca="1">ORÇAMENTO!X87</f>
        <v>0</v>
      </c>
      <c r="J87" s="427">
        <f t="shared" ca="1" si="15"/>
        <v>0</v>
      </c>
      <c r="K87" s="151">
        <f t="shared" ca="1" si="16"/>
        <v>0</v>
      </c>
      <c r="L87" s="428">
        <f t="shared" ca="1" si="17"/>
        <v>0</v>
      </c>
      <c r="M87" s="429">
        <f ca="1">IF($A87="S",VTOTALBM,IF($A87=0,0,ROUND(SomaAgrupBM,15-13*ORÇAMENTO!$AF$11)))</f>
        <v>0</v>
      </c>
      <c r="N87" s="430">
        <f t="shared" ca="1" si="18"/>
        <v>0</v>
      </c>
      <c r="O87" s="154">
        <f ca="1">IF($A87="S",VTOTALBM,IF($A87=0,0,ROUND(SomaAgrupBM,15-13*ORÇAMENTO!$AF$11)))</f>
        <v>0</v>
      </c>
      <c r="Q87" s="431"/>
      <c r="R87" s="432"/>
      <c r="T87" s="146" t="str">
        <f t="shared" ca="1" si="19"/>
        <v/>
      </c>
      <c r="U87" s="206" t="str">
        <f t="shared" ca="1" si="20"/>
        <v/>
      </c>
      <c r="V87" s="207" t="str">
        <f t="shared" ca="1" si="21"/>
        <v/>
      </c>
      <c r="W87" s="595">
        <f ca="1">IF($Y87&gt;0,CHOOSE(MATCH(RegimeExecucao,{"Unitário","Global"},0),IF($A87="S",$Y87/$X87,""),($Y87/$X87)*100),0)</f>
        <v>0</v>
      </c>
      <c r="X87" s="433" t="str">
        <f ca="1">IF($Y87&gt;0,CHOOSE(MATCH(RegimeExecucao,{"Unitário","Global"},0),IF($A87="S",ROUND($H87,ORÇAMENTO!$AF$10),""),ROUND($I87,ORÇAMENTO!$AF$11)),"")</f>
        <v/>
      </c>
      <c r="Y87" s="433">
        <f t="shared" ca="1" si="22"/>
        <v>0</v>
      </c>
      <c r="Z87" s="434"/>
      <c r="AB87" s="431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432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3" t="str">
        <f t="shared" ca="1" si="12"/>
        <v/>
      </c>
      <c r="D88" s="146" t="str">
        <f ca="1">ORÇAMENTO!O88</f>
        <v>-</v>
      </c>
      <c r="E88" s="206" t="str">
        <f t="shared" ca="1" si="13"/>
        <v>(abra o arquivo 'Referência 05-2023.xls)</v>
      </c>
      <c r="F88" s="207" t="str">
        <f t="shared" ca="1" si="14"/>
        <v>-</v>
      </c>
      <c r="G88" s="151">
        <f ca="1">IF(RegimeExecucao="Global","",ORÇAMENTO!T88)</f>
        <v>0</v>
      </c>
      <c r="H88" s="151">
        <f ca="1">IF(RegimeExecucao="Global","",ORÇAMENTO!W88)</f>
        <v>0</v>
      </c>
      <c r="I88" s="154">
        <f ca="1">ORÇAMENTO!X88</f>
        <v>0</v>
      </c>
      <c r="J88" s="427">
        <f t="shared" ca="1" si="15"/>
        <v>0</v>
      </c>
      <c r="K88" s="151">
        <f t="shared" ca="1" si="16"/>
        <v>0</v>
      </c>
      <c r="L88" s="428">
        <f t="shared" ca="1" si="17"/>
        <v>0</v>
      </c>
      <c r="M88" s="429">
        <f ca="1">IF($A88="S",VTOTALBM,IF($A88=0,0,ROUND(SomaAgrupBM,15-13*ORÇAMENTO!$AF$11)))</f>
        <v>0</v>
      </c>
      <c r="N88" s="430">
        <f t="shared" ca="1" si="18"/>
        <v>0</v>
      </c>
      <c r="O88" s="154">
        <f ca="1">IF($A88="S",VTOTALBM,IF($A88=0,0,ROUND(SomaAgrupBM,15-13*ORÇAMENTO!$AF$11)))</f>
        <v>0</v>
      </c>
      <c r="Q88" s="431"/>
      <c r="R88" s="432"/>
      <c r="T88" s="146" t="str">
        <f t="shared" ca="1" si="19"/>
        <v/>
      </c>
      <c r="U88" s="206" t="str">
        <f t="shared" ca="1" si="20"/>
        <v/>
      </c>
      <c r="V88" s="207" t="str">
        <f t="shared" ca="1" si="21"/>
        <v/>
      </c>
      <c r="W88" s="595">
        <f ca="1">IF($Y88&gt;0,CHOOSE(MATCH(RegimeExecucao,{"Unitário","Global"},0),IF($A88="S",$Y88/$X88,""),($Y88/$X88)*100),0)</f>
        <v>0</v>
      </c>
      <c r="X88" s="433" t="str">
        <f ca="1">IF($Y88&gt;0,CHOOSE(MATCH(RegimeExecucao,{"Unitário","Global"},0),IF($A88="S",ROUND($H88,ORÇAMENTO!$AF$10),""),ROUND($I88,ORÇAMENTO!$AF$11)),"")</f>
        <v/>
      </c>
      <c r="Y88" s="433">
        <f t="shared" ca="1" si="22"/>
        <v>0</v>
      </c>
      <c r="Z88" s="434"/>
      <c r="AB88" s="431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432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3" t="str">
        <f t="shared" ca="1" si="12"/>
        <v/>
      </c>
      <c r="D89" s="146" t="str">
        <f ca="1">ORÇAMENTO!O89</f>
        <v>-</v>
      </c>
      <c r="E89" s="206" t="str">
        <f t="shared" ca="1" si="13"/>
        <v>(abra o arquivo 'Referência 05-2023.xls)</v>
      </c>
      <c r="F89" s="207" t="str">
        <f t="shared" ca="1" si="14"/>
        <v>-</v>
      </c>
      <c r="G89" s="151">
        <f ca="1">IF(RegimeExecucao="Global","",ORÇAMENTO!T89)</f>
        <v>0</v>
      </c>
      <c r="H89" s="151">
        <f ca="1">IF(RegimeExecucao="Global","",ORÇAMENTO!W89)</f>
        <v>0</v>
      </c>
      <c r="I89" s="154">
        <f ca="1">ORÇAMENTO!X89</f>
        <v>0</v>
      </c>
      <c r="J89" s="427">
        <f t="shared" ca="1" si="15"/>
        <v>0</v>
      </c>
      <c r="K89" s="151">
        <f t="shared" ca="1" si="16"/>
        <v>0</v>
      </c>
      <c r="L89" s="428">
        <f t="shared" ca="1" si="17"/>
        <v>0</v>
      </c>
      <c r="M89" s="429">
        <f ca="1">IF($A89="S",VTOTALBM,IF($A89=0,0,ROUND(SomaAgrupBM,15-13*ORÇAMENTO!$AF$11)))</f>
        <v>0</v>
      </c>
      <c r="N89" s="430">
        <f t="shared" ca="1" si="18"/>
        <v>0</v>
      </c>
      <c r="O89" s="154">
        <f ca="1">IF($A89="S",VTOTALBM,IF($A89=0,0,ROUND(SomaAgrupBM,15-13*ORÇAMENTO!$AF$11)))</f>
        <v>0</v>
      </c>
      <c r="Q89" s="431"/>
      <c r="R89" s="432"/>
      <c r="T89" s="146" t="str">
        <f t="shared" ca="1" si="19"/>
        <v/>
      </c>
      <c r="U89" s="206" t="str">
        <f t="shared" ca="1" si="20"/>
        <v/>
      </c>
      <c r="V89" s="207" t="str">
        <f t="shared" ca="1" si="21"/>
        <v/>
      </c>
      <c r="W89" s="595">
        <f ca="1">IF($Y89&gt;0,CHOOSE(MATCH(RegimeExecucao,{"Unitário","Global"},0),IF($A89="S",$Y89/$X89,""),($Y89/$X89)*100),0)</f>
        <v>0</v>
      </c>
      <c r="X89" s="433" t="str">
        <f ca="1">IF($Y89&gt;0,CHOOSE(MATCH(RegimeExecucao,{"Unitário","Global"},0),IF($A89="S",ROUND($H89,ORÇAMENTO!$AF$10),""),ROUND($I89,ORÇAMENTO!$AF$11)),"")</f>
        <v/>
      </c>
      <c r="Y89" s="433">
        <f t="shared" ca="1" si="22"/>
        <v>0</v>
      </c>
      <c r="Z89" s="434"/>
      <c r="AB89" s="431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432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3" t="str">
        <f t="shared" ca="1" si="12"/>
        <v/>
      </c>
      <c r="D90" s="146" t="str">
        <f ca="1">ORÇAMENTO!O90</f>
        <v>-</v>
      </c>
      <c r="E90" s="206" t="str">
        <f t="shared" ca="1" si="13"/>
        <v>(abra o arquivo 'Referência 05-2023.xls)</v>
      </c>
      <c r="F90" s="207" t="str">
        <f t="shared" ca="1" si="14"/>
        <v>-</v>
      </c>
      <c r="G90" s="151">
        <f ca="1">IF(RegimeExecucao="Global","",ORÇAMENTO!T90)</f>
        <v>0</v>
      </c>
      <c r="H90" s="151">
        <f ca="1">IF(RegimeExecucao="Global","",ORÇAMENTO!W90)</f>
        <v>0</v>
      </c>
      <c r="I90" s="154">
        <f ca="1">ORÇAMENTO!X90</f>
        <v>0</v>
      </c>
      <c r="J90" s="427">
        <f t="shared" ca="1" si="15"/>
        <v>0</v>
      </c>
      <c r="K90" s="151">
        <f t="shared" ca="1" si="16"/>
        <v>0</v>
      </c>
      <c r="L90" s="428">
        <f t="shared" ca="1" si="17"/>
        <v>0</v>
      </c>
      <c r="M90" s="429">
        <f ca="1">IF($A90="S",VTOTALBM,IF($A90=0,0,ROUND(SomaAgrupBM,15-13*ORÇAMENTO!$AF$11)))</f>
        <v>0</v>
      </c>
      <c r="N90" s="430">
        <f t="shared" ca="1" si="18"/>
        <v>0</v>
      </c>
      <c r="O90" s="154">
        <f ca="1">IF($A90="S",VTOTALBM,IF($A90=0,0,ROUND(SomaAgrupBM,15-13*ORÇAMENTO!$AF$11)))</f>
        <v>0</v>
      </c>
      <c r="Q90" s="431"/>
      <c r="R90" s="432"/>
      <c r="T90" s="146" t="str">
        <f t="shared" ca="1" si="19"/>
        <v/>
      </c>
      <c r="U90" s="206" t="str">
        <f t="shared" ca="1" si="20"/>
        <v/>
      </c>
      <c r="V90" s="207" t="str">
        <f t="shared" ca="1" si="21"/>
        <v/>
      </c>
      <c r="W90" s="595">
        <f ca="1">IF($Y90&gt;0,CHOOSE(MATCH(RegimeExecucao,{"Unitário","Global"},0),IF($A90="S",$Y90/$X90,""),($Y90/$X90)*100),0)</f>
        <v>0</v>
      </c>
      <c r="X90" s="433" t="str">
        <f ca="1">IF($Y90&gt;0,CHOOSE(MATCH(RegimeExecucao,{"Unitário","Global"},0),IF($A90="S",ROUND($H90,ORÇAMENTO!$AF$10),""),ROUND($I90,ORÇAMENTO!$AF$11)),"")</f>
        <v/>
      </c>
      <c r="Y90" s="433">
        <f t="shared" ca="1" si="22"/>
        <v>0</v>
      </c>
      <c r="Z90" s="434"/>
      <c r="AB90" s="431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432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3" t="str">
        <f t="shared" ca="1" si="12"/>
        <v/>
      </c>
      <c r="D91" s="146" t="str">
        <f ca="1">ORÇAMENTO!O91</f>
        <v>-</v>
      </c>
      <c r="E91" s="206" t="str">
        <f t="shared" ca="1" si="13"/>
        <v>(abra o arquivo 'Referência 05-2023.xls)</v>
      </c>
      <c r="F91" s="207" t="str">
        <f t="shared" ca="1" si="14"/>
        <v>-</v>
      </c>
      <c r="G91" s="151">
        <f ca="1">IF(RegimeExecucao="Global","",ORÇAMENTO!T91)</f>
        <v>0</v>
      </c>
      <c r="H91" s="151">
        <f ca="1">IF(RegimeExecucao="Global","",ORÇAMENTO!W91)</f>
        <v>0</v>
      </c>
      <c r="I91" s="154">
        <f ca="1">ORÇAMENTO!X91</f>
        <v>0</v>
      </c>
      <c r="J91" s="427">
        <f t="shared" ca="1" si="15"/>
        <v>0</v>
      </c>
      <c r="K91" s="151">
        <f t="shared" ca="1" si="16"/>
        <v>0</v>
      </c>
      <c r="L91" s="428">
        <f t="shared" ca="1" si="17"/>
        <v>0</v>
      </c>
      <c r="M91" s="429">
        <f ca="1">IF($A91="S",VTOTALBM,IF($A91=0,0,ROUND(SomaAgrupBM,15-13*ORÇAMENTO!$AF$11)))</f>
        <v>0</v>
      </c>
      <c r="N91" s="430">
        <f t="shared" ca="1" si="18"/>
        <v>0</v>
      </c>
      <c r="O91" s="154">
        <f ca="1">IF($A91="S",VTOTALBM,IF($A91=0,0,ROUND(SomaAgrupBM,15-13*ORÇAMENTO!$AF$11)))</f>
        <v>0</v>
      </c>
      <c r="Q91" s="431"/>
      <c r="R91" s="432"/>
      <c r="T91" s="146" t="str">
        <f t="shared" ca="1" si="19"/>
        <v/>
      </c>
      <c r="U91" s="206" t="str">
        <f t="shared" ca="1" si="20"/>
        <v/>
      </c>
      <c r="V91" s="207" t="str">
        <f t="shared" ca="1" si="21"/>
        <v/>
      </c>
      <c r="W91" s="595">
        <f ca="1">IF($Y91&gt;0,CHOOSE(MATCH(RegimeExecucao,{"Unitário","Global"},0),IF($A91="S",$Y91/$X91,""),($Y91/$X91)*100),0)</f>
        <v>0</v>
      </c>
      <c r="X91" s="433" t="str">
        <f ca="1">IF($Y91&gt;0,CHOOSE(MATCH(RegimeExecucao,{"Unitário","Global"},0),IF($A91="S",ROUND($H91,ORÇAMENTO!$AF$10),""),ROUND($I91,ORÇAMENTO!$AF$11)),"")</f>
        <v/>
      </c>
      <c r="Y91" s="433">
        <f t="shared" ca="1" si="22"/>
        <v>0</v>
      </c>
      <c r="Z91" s="434"/>
      <c r="AB91" s="431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432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3" t="str">
        <f t="shared" ca="1" si="12"/>
        <v/>
      </c>
      <c r="D92" s="146" t="str">
        <f ca="1">ORÇAMENTO!O92</f>
        <v>-</v>
      </c>
      <c r="E92" s="206" t="str">
        <f t="shared" ca="1" si="13"/>
        <v>(abra o arquivo 'Referência 05-2023.xls)</v>
      </c>
      <c r="F92" s="207" t="str">
        <f t="shared" ca="1" si="14"/>
        <v>-</v>
      </c>
      <c r="G92" s="151">
        <f ca="1">IF(RegimeExecucao="Global","",ORÇAMENTO!T92)</f>
        <v>0</v>
      </c>
      <c r="H92" s="151">
        <f ca="1">IF(RegimeExecucao="Global","",ORÇAMENTO!W92)</f>
        <v>0</v>
      </c>
      <c r="I92" s="154">
        <f ca="1">ORÇAMENTO!X92</f>
        <v>0</v>
      </c>
      <c r="J92" s="427">
        <f t="shared" ca="1" si="15"/>
        <v>0</v>
      </c>
      <c r="K92" s="151">
        <f t="shared" ca="1" si="16"/>
        <v>0</v>
      </c>
      <c r="L92" s="428">
        <f t="shared" ca="1" si="17"/>
        <v>0</v>
      </c>
      <c r="M92" s="429">
        <f ca="1">IF($A92="S",VTOTALBM,IF($A92=0,0,ROUND(SomaAgrupBM,15-13*ORÇAMENTO!$AF$11)))</f>
        <v>0</v>
      </c>
      <c r="N92" s="430">
        <f t="shared" ca="1" si="18"/>
        <v>0</v>
      </c>
      <c r="O92" s="154">
        <f ca="1">IF($A92="S",VTOTALBM,IF($A92=0,0,ROUND(SomaAgrupBM,15-13*ORÇAMENTO!$AF$11)))</f>
        <v>0</v>
      </c>
      <c r="Q92" s="431"/>
      <c r="R92" s="432"/>
      <c r="T92" s="146" t="str">
        <f t="shared" ca="1" si="19"/>
        <v/>
      </c>
      <c r="U92" s="206" t="str">
        <f t="shared" ca="1" si="20"/>
        <v/>
      </c>
      <c r="V92" s="207" t="str">
        <f t="shared" ca="1" si="21"/>
        <v/>
      </c>
      <c r="W92" s="595">
        <f ca="1">IF($Y92&gt;0,CHOOSE(MATCH(RegimeExecucao,{"Unitário","Global"},0),IF($A92="S",$Y92/$X92,""),($Y92/$X92)*100),0)</f>
        <v>0</v>
      </c>
      <c r="X92" s="433" t="str">
        <f ca="1">IF($Y92&gt;0,CHOOSE(MATCH(RegimeExecucao,{"Unitário","Global"},0),IF($A92="S",ROUND($H92,ORÇAMENTO!$AF$10),""),ROUND($I92,ORÇAMENTO!$AF$11)),"")</f>
        <v/>
      </c>
      <c r="Y92" s="433">
        <f t="shared" ca="1" si="22"/>
        <v>0</v>
      </c>
      <c r="Z92" s="434"/>
      <c r="AB92" s="431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432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3" t="str">
        <f t="shared" ca="1" si="12"/>
        <v/>
      </c>
      <c r="D93" s="146" t="str">
        <f ca="1">ORÇAMENTO!O93</f>
        <v>-</v>
      </c>
      <c r="E93" s="206" t="str">
        <f t="shared" ca="1" si="13"/>
        <v>(abra o arquivo 'Referência 05-2023.xls)</v>
      </c>
      <c r="F93" s="207" t="str">
        <f t="shared" ca="1" si="14"/>
        <v>-</v>
      </c>
      <c r="G93" s="151">
        <f ca="1">IF(RegimeExecucao="Global","",ORÇAMENTO!T93)</f>
        <v>0</v>
      </c>
      <c r="H93" s="151">
        <f ca="1">IF(RegimeExecucao="Global","",ORÇAMENTO!W93)</f>
        <v>0</v>
      </c>
      <c r="I93" s="154">
        <f ca="1">ORÇAMENTO!X93</f>
        <v>0</v>
      </c>
      <c r="J93" s="427">
        <f t="shared" ca="1" si="15"/>
        <v>0</v>
      </c>
      <c r="K93" s="151">
        <f t="shared" ca="1" si="16"/>
        <v>0</v>
      </c>
      <c r="L93" s="428">
        <f t="shared" ca="1" si="17"/>
        <v>0</v>
      </c>
      <c r="M93" s="429">
        <f ca="1">IF($A93="S",VTOTALBM,IF($A93=0,0,ROUND(SomaAgrupBM,15-13*ORÇAMENTO!$AF$11)))</f>
        <v>0</v>
      </c>
      <c r="N93" s="430">
        <f t="shared" ca="1" si="18"/>
        <v>0</v>
      </c>
      <c r="O93" s="154">
        <f ca="1">IF($A93="S",VTOTALBM,IF($A93=0,0,ROUND(SomaAgrupBM,15-13*ORÇAMENTO!$AF$11)))</f>
        <v>0</v>
      </c>
      <c r="Q93" s="431"/>
      <c r="R93" s="432"/>
      <c r="T93" s="146" t="str">
        <f t="shared" ca="1" si="19"/>
        <v/>
      </c>
      <c r="U93" s="206" t="str">
        <f t="shared" ca="1" si="20"/>
        <v/>
      </c>
      <c r="V93" s="207" t="str">
        <f t="shared" ca="1" si="21"/>
        <v/>
      </c>
      <c r="W93" s="595">
        <f ca="1">IF($Y93&gt;0,CHOOSE(MATCH(RegimeExecucao,{"Unitário","Global"},0),IF($A93="S",$Y93/$X93,""),($Y93/$X93)*100),0)</f>
        <v>0</v>
      </c>
      <c r="X93" s="433" t="str">
        <f ca="1">IF($Y93&gt;0,CHOOSE(MATCH(RegimeExecucao,{"Unitário","Global"},0),IF($A93="S",ROUND($H93,ORÇAMENTO!$AF$10),""),ROUND($I93,ORÇAMENTO!$AF$11)),"")</f>
        <v/>
      </c>
      <c r="Y93" s="433">
        <f t="shared" ca="1" si="22"/>
        <v>0</v>
      </c>
      <c r="Z93" s="434"/>
      <c r="AB93" s="431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432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3" t="str">
        <f t="shared" ca="1" si="12"/>
        <v/>
      </c>
      <c r="D94" s="146" t="str">
        <f ca="1">ORÇAMENTO!O94</f>
        <v>-</v>
      </c>
      <c r="E94" s="206" t="str">
        <f t="shared" ca="1" si="13"/>
        <v>(abra o arquivo 'Referência 05-2023.xls)</v>
      </c>
      <c r="F94" s="207" t="str">
        <f t="shared" ca="1" si="14"/>
        <v>-</v>
      </c>
      <c r="G94" s="151">
        <f ca="1">IF(RegimeExecucao="Global","",ORÇAMENTO!T94)</f>
        <v>0</v>
      </c>
      <c r="H94" s="151">
        <f ca="1">IF(RegimeExecucao="Global","",ORÇAMENTO!W94)</f>
        <v>0</v>
      </c>
      <c r="I94" s="154">
        <f ca="1">ORÇAMENTO!X94</f>
        <v>0</v>
      </c>
      <c r="J94" s="427">
        <f t="shared" ca="1" si="15"/>
        <v>0</v>
      </c>
      <c r="K94" s="151">
        <f t="shared" ca="1" si="16"/>
        <v>0</v>
      </c>
      <c r="L94" s="428">
        <f t="shared" ca="1" si="17"/>
        <v>0</v>
      </c>
      <c r="M94" s="429">
        <f ca="1">IF($A94="S",VTOTALBM,IF($A94=0,0,ROUND(SomaAgrupBM,15-13*ORÇAMENTO!$AF$11)))</f>
        <v>0</v>
      </c>
      <c r="N94" s="430">
        <f t="shared" ca="1" si="18"/>
        <v>0</v>
      </c>
      <c r="O94" s="154">
        <f ca="1">IF($A94="S",VTOTALBM,IF($A94=0,0,ROUND(SomaAgrupBM,15-13*ORÇAMENTO!$AF$11)))</f>
        <v>0</v>
      </c>
      <c r="Q94" s="431"/>
      <c r="R94" s="432"/>
      <c r="T94" s="146" t="str">
        <f t="shared" ca="1" si="19"/>
        <v/>
      </c>
      <c r="U94" s="206" t="str">
        <f t="shared" ca="1" si="20"/>
        <v/>
      </c>
      <c r="V94" s="207" t="str">
        <f t="shared" ca="1" si="21"/>
        <v/>
      </c>
      <c r="W94" s="595">
        <f ca="1">IF($Y94&gt;0,CHOOSE(MATCH(RegimeExecucao,{"Unitário","Global"},0),IF($A94="S",$Y94/$X94,""),($Y94/$X94)*100),0)</f>
        <v>0</v>
      </c>
      <c r="X94" s="433" t="str">
        <f ca="1">IF($Y94&gt;0,CHOOSE(MATCH(RegimeExecucao,{"Unitário","Global"},0),IF($A94="S",ROUND($H94,ORÇAMENTO!$AF$10),""),ROUND($I94,ORÇAMENTO!$AF$11)),"")</f>
        <v/>
      </c>
      <c r="Y94" s="433">
        <f t="shared" ca="1" si="22"/>
        <v>0</v>
      </c>
      <c r="Z94" s="434"/>
      <c r="AB94" s="431"/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432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3" t="str">
        <f t="shared" ca="1" si="12"/>
        <v/>
      </c>
      <c r="D95" s="146" t="str">
        <f ca="1">ORÇAMENTO!O95</f>
        <v>-</v>
      </c>
      <c r="E95" s="206" t="str">
        <f t="shared" ca="1" si="13"/>
        <v>(abra o arquivo 'Referência 05-2023.xls)</v>
      </c>
      <c r="F95" s="207" t="str">
        <f t="shared" ca="1" si="14"/>
        <v>-</v>
      </c>
      <c r="G95" s="151">
        <f ca="1">IF(RegimeExecucao="Global","",ORÇAMENTO!T95)</f>
        <v>0</v>
      </c>
      <c r="H95" s="151">
        <f ca="1">IF(RegimeExecucao="Global","",ORÇAMENTO!W95)</f>
        <v>0</v>
      </c>
      <c r="I95" s="154">
        <f ca="1">ORÇAMENTO!X95</f>
        <v>0</v>
      </c>
      <c r="J95" s="427">
        <f t="shared" ca="1" si="15"/>
        <v>0</v>
      </c>
      <c r="K95" s="151">
        <f t="shared" ca="1" si="16"/>
        <v>0</v>
      </c>
      <c r="L95" s="428">
        <f t="shared" ca="1" si="17"/>
        <v>0</v>
      </c>
      <c r="M95" s="429">
        <f ca="1">IF($A95="S",VTOTALBM,IF($A95=0,0,ROUND(SomaAgrupBM,15-13*ORÇAMENTO!$AF$11)))</f>
        <v>0</v>
      </c>
      <c r="N95" s="430">
        <f t="shared" ca="1" si="18"/>
        <v>0</v>
      </c>
      <c r="O95" s="154">
        <f ca="1">IF($A95="S",VTOTALBM,IF($A95=0,0,ROUND(SomaAgrupBM,15-13*ORÇAMENTO!$AF$11)))</f>
        <v>0</v>
      </c>
      <c r="Q95" s="431"/>
      <c r="R95" s="432"/>
      <c r="T95" s="146" t="str">
        <f t="shared" ca="1" si="19"/>
        <v/>
      </c>
      <c r="U95" s="206" t="str">
        <f t="shared" ca="1" si="20"/>
        <v/>
      </c>
      <c r="V95" s="207" t="str">
        <f t="shared" ca="1" si="21"/>
        <v/>
      </c>
      <c r="W95" s="595">
        <f ca="1">IF($Y95&gt;0,CHOOSE(MATCH(RegimeExecucao,{"Unitário","Global"},0),IF($A95="S",$Y95/$X95,""),($Y95/$X95)*100),0)</f>
        <v>0</v>
      </c>
      <c r="X95" s="433" t="str">
        <f ca="1">IF($Y95&gt;0,CHOOSE(MATCH(RegimeExecucao,{"Unitário","Global"},0),IF($A95="S",ROUND($H95,ORÇAMENTO!$AF$10),""),ROUND($I95,ORÇAMENTO!$AF$11)),"")</f>
        <v/>
      </c>
      <c r="Y95" s="433">
        <f t="shared" ca="1" si="22"/>
        <v>0</v>
      </c>
      <c r="Z95" s="434"/>
      <c r="AB95" s="431"/>
      <c r="AC95" s="569"/>
      <c r="AD95" s="569"/>
      <c r="AE95" s="569"/>
      <c r="AF95" s="569"/>
      <c r="AG95" s="569"/>
      <c r="AH95" s="569"/>
      <c r="AI95" s="569"/>
      <c r="AJ95" s="569"/>
      <c r="AK95" s="569"/>
      <c r="AL95" s="569"/>
      <c r="AM95" s="432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3" t="str">
        <f t="shared" ca="1" si="12"/>
        <v/>
      </c>
      <c r="D96" s="146" t="str">
        <f ca="1">ORÇAMENTO!O96</f>
        <v>-</v>
      </c>
      <c r="E96" s="206" t="str">
        <f t="shared" ca="1" si="13"/>
        <v>(abra o arquivo 'Referência 05-2023.xls)</v>
      </c>
      <c r="F96" s="207" t="str">
        <f t="shared" ca="1" si="14"/>
        <v>-</v>
      </c>
      <c r="G96" s="151">
        <f ca="1">IF(RegimeExecucao="Global","",ORÇAMENTO!T96)</f>
        <v>0</v>
      </c>
      <c r="H96" s="151">
        <f ca="1">IF(RegimeExecucao="Global","",ORÇAMENTO!W96)</f>
        <v>0</v>
      </c>
      <c r="I96" s="154">
        <f ca="1">ORÇAMENTO!X96</f>
        <v>0</v>
      </c>
      <c r="J96" s="427">
        <f t="shared" ca="1" si="15"/>
        <v>0</v>
      </c>
      <c r="K96" s="151">
        <f t="shared" ca="1" si="16"/>
        <v>0</v>
      </c>
      <c r="L96" s="428">
        <f t="shared" ca="1" si="17"/>
        <v>0</v>
      </c>
      <c r="M96" s="429">
        <f ca="1">IF($A96="S",VTOTALBM,IF($A96=0,0,ROUND(SomaAgrupBM,15-13*ORÇAMENTO!$AF$11)))</f>
        <v>0</v>
      </c>
      <c r="N96" s="430">
        <f t="shared" ca="1" si="18"/>
        <v>0</v>
      </c>
      <c r="O96" s="154">
        <f ca="1">IF($A96="S",VTOTALBM,IF($A96=0,0,ROUND(SomaAgrupBM,15-13*ORÇAMENTO!$AF$11)))</f>
        <v>0</v>
      </c>
      <c r="Q96" s="431"/>
      <c r="R96" s="432"/>
      <c r="T96" s="146" t="str">
        <f t="shared" ca="1" si="19"/>
        <v/>
      </c>
      <c r="U96" s="206" t="str">
        <f t="shared" ca="1" si="20"/>
        <v/>
      </c>
      <c r="V96" s="207" t="str">
        <f t="shared" ca="1" si="21"/>
        <v/>
      </c>
      <c r="W96" s="595">
        <f ca="1">IF($Y96&gt;0,CHOOSE(MATCH(RegimeExecucao,{"Unitário","Global"},0),IF($A96="S",$Y96/$X96,""),($Y96/$X96)*100),0)</f>
        <v>0</v>
      </c>
      <c r="X96" s="433" t="str">
        <f ca="1">IF($Y96&gt;0,CHOOSE(MATCH(RegimeExecucao,{"Unitário","Global"},0),IF($A96="S",ROUND($H96,ORÇAMENTO!$AF$10),""),ROUND($I96,ORÇAMENTO!$AF$11)),"")</f>
        <v/>
      </c>
      <c r="Y96" s="433">
        <f t="shared" ca="1" si="22"/>
        <v>0</v>
      </c>
      <c r="Z96" s="434"/>
      <c r="AB96" s="431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432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3" t="str">
        <f t="shared" ca="1" si="12"/>
        <v/>
      </c>
      <c r="D97" s="146" t="str">
        <f ca="1">ORÇAMENTO!O97</f>
        <v>-</v>
      </c>
      <c r="E97" s="206" t="str">
        <f t="shared" ca="1" si="13"/>
        <v>(abra o arquivo 'Referência 05-2023.xls)</v>
      </c>
      <c r="F97" s="207" t="str">
        <f t="shared" ca="1" si="14"/>
        <v>-</v>
      </c>
      <c r="G97" s="151">
        <f ca="1">IF(RegimeExecucao="Global","",ORÇAMENTO!T97)</f>
        <v>0</v>
      </c>
      <c r="H97" s="151">
        <f ca="1">IF(RegimeExecucao="Global","",ORÇAMENTO!W97)</f>
        <v>0</v>
      </c>
      <c r="I97" s="154">
        <f ca="1">ORÇAMENTO!X97</f>
        <v>0</v>
      </c>
      <c r="J97" s="427">
        <f t="shared" ca="1" si="15"/>
        <v>0</v>
      </c>
      <c r="K97" s="151">
        <f t="shared" ca="1" si="16"/>
        <v>0</v>
      </c>
      <c r="L97" s="428">
        <f t="shared" ca="1" si="17"/>
        <v>0</v>
      </c>
      <c r="M97" s="429">
        <f ca="1">IF($A97="S",VTOTALBM,IF($A97=0,0,ROUND(SomaAgrupBM,15-13*ORÇAMENTO!$AF$11)))</f>
        <v>0</v>
      </c>
      <c r="N97" s="430">
        <f t="shared" ca="1" si="18"/>
        <v>0</v>
      </c>
      <c r="O97" s="154">
        <f ca="1">IF($A97="S",VTOTALBM,IF($A97=0,0,ROUND(SomaAgrupBM,15-13*ORÇAMENTO!$AF$11)))</f>
        <v>0</v>
      </c>
      <c r="Q97" s="431"/>
      <c r="R97" s="432"/>
      <c r="T97" s="146" t="str">
        <f t="shared" ca="1" si="19"/>
        <v/>
      </c>
      <c r="U97" s="206" t="str">
        <f t="shared" ca="1" si="20"/>
        <v/>
      </c>
      <c r="V97" s="207" t="str">
        <f t="shared" ca="1" si="21"/>
        <v/>
      </c>
      <c r="W97" s="595">
        <f ca="1">IF($Y97&gt;0,CHOOSE(MATCH(RegimeExecucao,{"Unitário","Global"},0),IF($A97="S",$Y97/$X97,""),($Y97/$X97)*100),0)</f>
        <v>0</v>
      </c>
      <c r="X97" s="433" t="str">
        <f ca="1">IF($Y97&gt;0,CHOOSE(MATCH(RegimeExecucao,{"Unitário","Global"},0),IF($A97="S",ROUND($H97,ORÇAMENTO!$AF$10),""),ROUND($I97,ORÇAMENTO!$AF$11)),"")</f>
        <v/>
      </c>
      <c r="Y97" s="433">
        <f t="shared" ca="1" si="22"/>
        <v>0</v>
      </c>
      <c r="Z97" s="434"/>
      <c r="AB97" s="431"/>
      <c r="AC97" s="569"/>
      <c r="AD97" s="569"/>
      <c r="AE97" s="569"/>
      <c r="AF97" s="569"/>
      <c r="AG97" s="569"/>
      <c r="AH97" s="569"/>
      <c r="AI97" s="569"/>
      <c r="AJ97" s="569"/>
      <c r="AK97" s="569"/>
      <c r="AL97" s="569"/>
      <c r="AM97" s="432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3" t="str">
        <f t="shared" ca="1" si="12"/>
        <v/>
      </c>
      <c r="D98" s="146" t="str">
        <f ca="1">ORÇAMENTO!O98</f>
        <v>-</v>
      </c>
      <c r="E98" s="206" t="str">
        <f t="shared" ca="1" si="13"/>
        <v>(abra o arquivo 'Referência 05-2023.xls)</v>
      </c>
      <c r="F98" s="207" t="str">
        <f t="shared" ca="1" si="14"/>
        <v>-</v>
      </c>
      <c r="G98" s="151">
        <f ca="1">IF(RegimeExecucao="Global","",ORÇAMENTO!T98)</f>
        <v>0</v>
      </c>
      <c r="H98" s="151">
        <f ca="1">IF(RegimeExecucao="Global","",ORÇAMENTO!W98)</f>
        <v>0</v>
      </c>
      <c r="I98" s="154">
        <f ca="1">ORÇAMENTO!X98</f>
        <v>0</v>
      </c>
      <c r="J98" s="427">
        <f t="shared" ca="1" si="15"/>
        <v>0</v>
      </c>
      <c r="K98" s="151">
        <f t="shared" ca="1" si="16"/>
        <v>0</v>
      </c>
      <c r="L98" s="428">
        <f t="shared" ca="1" si="17"/>
        <v>0</v>
      </c>
      <c r="M98" s="429">
        <f ca="1">IF($A98="S",VTOTALBM,IF($A98=0,0,ROUND(SomaAgrupBM,15-13*ORÇAMENTO!$AF$11)))</f>
        <v>0</v>
      </c>
      <c r="N98" s="430">
        <f t="shared" ca="1" si="18"/>
        <v>0</v>
      </c>
      <c r="O98" s="154">
        <f ca="1">IF($A98="S",VTOTALBM,IF($A98=0,0,ROUND(SomaAgrupBM,15-13*ORÇAMENTO!$AF$11)))</f>
        <v>0</v>
      </c>
      <c r="Q98" s="431"/>
      <c r="R98" s="432"/>
      <c r="T98" s="146" t="str">
        <f t="shared" ca="1" si="19"/>
        <v/>
      </c>
      <c r="U98" s="206" t="str">
        <f t="shared" ca="1" si="20"/>
        <v/>
      </c>
      <c r="V98" s="207" t="str">
        <f t="shared" ca="1" si="21"/>
        <v/>
      </c>
      <c r="W98" s="595">
        <f ca="1">IF($Y98&gt;0,CHOOSE(MATCH(RegimeExecucao,{"Unitário","Global"},0),IF($A98="S",$Y98/$X98,""),($Y98/$X98)*100),0)</f>
        <v>0</v>
      </c>
      <c r="X98" s="433" t="str">
        <f ca="1">IF($Y98&gt;0,CHOOSE(MATCH(RegimeExecucao,{"Unitário","Global"},0),IF($A98="S",ROUND($H98,ORÇAMENTO!$AF$10),""),ROUND($I98,ORÇAMENTO!$AF$11)),"")</f>
        <v/>
      </c>
      <c r="Y98" s="433">
        <f t="shared" ca="1" si="22"/>
        <v>0</v>
      </c>
      <c r="Z98" s="434"/>
      <c r="AB98" s="431"/>
      <c r="AC98" s="569"/>
      <c r="AD98" s="569"/>
      <c r="AE98" s="569"/>
      <c r="AF98" s="569"/>
      <c r="AG98" s="569"/>
      <c r="AH98" s="569"/>
      <c r="AI98" s="569"/>
      <c r="AJ98" s="569"/>
      <c r="AK98" s="569"/>
      <c r="AL98" s="569"/>
      <c r="AM98" s="432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3" t="str">
        <f t="shared" ca="1" si="12"/>
        <v/>
      </c>
      <c r="D99" s="146" t="str">
        <f ca="1">ORÇAMENTO!O99</f>
        <v>-</v>
      </c>
      <c r="E99" s="206" t="str">
        <f t="shared" ca="1" si="13"/>
        <v>(abra o arquivo 'Referência 05-2023.xls)</v>
      </c>
      <c r="F99" s="207" t="str">
        <f t="shared" ca="1" si="14"/>
        <v>-</v>
      </c>
      <c r="G99" s="151">
        <f ca="1">IF(RegimeExecucao="Global","",ORÇAMENTO!T99)</f>
        <v>0</v>
      </c>
      <c r="H99" s="151">
        <f ca="1">IF(RegimeExecucao="Global","",ORÇAMENTO!W99)</f>
        <v>0</v>
      </c>
      <c r="I99" s="154">
        <f ca="1">ORÇAMENTO!X99</f>
        <v>0</v>
      </c>
      <c r="J99" s="427">
        <f t="shared" ca="1" si="15"/>
        <v>0</v>
      </c>
      <c r="K99" s="151">
        <f t="shared" ca="1" si="16"/>
        <v>0</v>
      </c>
      <c r="L99" s="428">
        <f t="shared" ca="1" si="17"/>
        <v>0</v>
      </c>
      <c r="M99" s="429">
        <f ca="1">IF($A99="S",VTOTALBM,IF($A99=0,0,ROUND(SomaAgrupBM,15-13*ORÇAMENTO!$AF$11)))</f>
        <v>0</v>
      </c>
      <c r="N99" s="430">
        <f t="shared" ca="1" si="18"/>
        <v>0</v>
      </c>
      <c r="O99" s="154">
        <f ca="1">IF($A99="S",VTOTALBM,IF($A99=0,0,ROUND(SomaAgrupBM,15-13*ORÇAMENTO!$AF$11)))</f>
        <v>0</v>
      </c>
      <c r="Q99" s="431"/>
      <c r="R99" s="432"/>
      <c r="T99" s="146" t="str">
        <f t="shared" ca="1" si="19"/>
        <v/>
      </c>
      <c r="U99" s="206" t="str">
        <f t="shared" ca="1" si="20"/>
        <v/>
      </c>
      <c r="V99" s="207" t="str">
        <f t="shared" ca="1" si="21"/>
        <v/>
      </c>
      <c r="W99" s="595">
        <f ca="1">IF($Y99&gt;0,CHOOSE(MATCH(RegimeExecucao,{"Unitário","Global"},0),IF($A99="S",$Y99/$X99,""),($Y99/$X99)*100),0)</f>
        <v>0</v>
      </c>
      <c r="X99" s="433" t="str">
        <f ca="1">IF($Y99&gt;0,CHOOSE(MATCH(RegimeExecucao,{"Unitário","Global"},0),IF($A99="S",ROUND($H99,ORÇAMENTO!$AF$10),""),ROUND($I99,ORÇAMENTO!$AF$11)),"")</f>
        <v/>
      </c>
      <c r="Y99" s="433">
        <f t="shared" ca="1" si="22"/>
        <v>0</v>
      </c>
      <c r="Z99" s="434"/>
      <c r="AB99" s="431"/>
      <c r="AC99" s="569"/>
      <c r="AD99" s="569"/>
      <c r="AE99" s="569"/>
      <c r="AF99" s="569"/>
      <c r="AG99" s="569"/>
      <c r="AH99" s="569"/>
      <c r="AI99" s="569"/>
      <c r="AJ99" s="569"/>
      <c r="AK99" s="569"/>
      <c r="AL99" s="569"/>
      <c r="AM99" s="432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3" t="str">
        <f t="shared" ca="1" si="12"/>
        <v/>
      </c>
      <c r="D100" s="146" t="str">
        <f ca="1">ORÇAMENTO!O100</f>
        <v>-</v>
      </c>
      <c r="E100" s="206" t="str">
        <f t="shared" ca="1" si="13"/>
        <v>(abra o arquivo 'Referência 05-2023.xls)</v>
      </c>
      <c r="F100" s="207" t="str">
        <f t="shared" ca="1" si="14"/>
        <v>-</v>
      </c>
      <c r="G100" s="151">
        <f ca="1">IF(RegimeExecucao="Global","",ORÇAMENTO!T100)</f>
        <v>0</v>
      </c>
      <c r="H100" s="151">
        <f ca="1">IF(RegimeExecucao="Global","",ORÇAMENTO!W100)</f>
        <v>0</v>
      </c>
      <c r="I100" s="154">
        <f ca="1">ORÇAMENTO!X100</f>
        <v>0</v>
      </c>
      <c r="J100" s="427">
        <f t="shared" ca="1" si="15"/>
        <v>0</v>
      </c>
      <c r="K100" s="151">
        <f t="shared" ca="1" si="16"/>
        <v>0</v>
      </c>
      <c r="L100" s="428">
        <f t="shared" ca="1" si="17"/>
        <v>0</v>
      </c>
      <c r="M100" s="429">
        <f ca="1">IF($A100="S",VTOTALBM,IF($A100=0,0,ROUND(SomaAgrupBM,15-13*ORÇAMENTO!$AF$11)))</f>
        <v>0</v>
      </c>
      <c r="N100" s="430">
        <f t="shared" ca="1" si="18"/>
        <v>0</v>
      </c>
      <c r="O100" s="154">
        <f ca="1">IF($A100="S",VTOTALBM,IF($A100=0,0,ROUND(SomaAgrupBM,15-13*ORÇAMENTO!$AF$11)))</f>
        <v>0</v>
      </c>
      <c r="Q100" s="431"/>
      <c r="R100" s="432"/>
      <c r="T100" s="146" t="str">
        <f t="shared" ca="1" si="19"/>
        <v/>
      </c>
      <c r="U100" s="206" t="str">
        <f t="shared" ca="1" si="20"/>
        <v/>
      </c>
      <c r="V100" s="207" t="str">
        <f t="shared" ca="1" si="21"/>
        <v/>
      </c>
      <c r="W100" s="595">
        <f ca="1">IF($Y100&gt;0,CHOOSE(MATCH(RegimeExecucao,{"Unitário","Global"},0),IF($A100="S",$Y100/$X100,""),($Y100/$X100)*100),0)</f>
        <v>0</v>
      </c>
      <c r="X100" s="433" t="str">
        <f ca="1">IF($Y100&gt;0,CHOOSE(MATCH(RegimeExecucao,{"Unitário","Global"},0),IF($A100="S",ROUND($H100,ORÇAMENTO!$AF$10),""),ROUND($I100,ORÇAMENTO!$AF$11)),"")</f>
        <v/>
      </c>
      <c r="Y100" s="433">
        <f t="shared" ca="1" si="22"/>
        <v>0</v>
      </c>
      <c r="Z100" s="434"/>
      <c r="AB100" s="431"/>
      <c r="AC100" s="569"/>
      <c r="AD100" s="569"/>
      <c r="AE100" s="569"/>
      <c r="AF100" s="569"/>
      <c r="AG100" s="569"/>
      <c r="AH100" s="569"/>
      <c r="AI100" s="569"/>
      <c r="AJ100" s="569"/>
      <c r="AK100" s="569"/>
      <c r="AL100" s="569"/>
      <c r="AM100" s="432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3" t="str">
        <f t="shared" ca="1" si="12"/>
        <v/>
      </c>
      <c r="D101" s="146" t="str">
        <f ca="1">ORÇAMENTO!O101</f>
        <v>-</v>
      </c>
      <c r="E101" s="206" t="str">
        <f t="shared" ca="1" si="13"/>
        <v>(abra o arquivo 'Referência 05-2023.xls)</v>
      </c>
      <c r="F101" s="207" t="str">
        <f t="shared" ca="1" si="14"/>
        <v>-</v>
      </c>
      <c r="G101" s="151">
        <f ca="1">IF(RegimeExecucao="Global","",ORÇAMENTO!T101)</f>
        <v>0</v>
      </c>
      <c r="H101" s="151">
        <f ca="1">IF(RegimeExecucao="Global","",ORÇAMENTO!W101)</f>
        <v>0</v>
      </c>
      <c r="I101" s="154">
        <f ca="1">ORÇAMENTO!X101</f>
        <v>0</v>
      </c>
      <c r="J101" s="427">
        <f t="shared" ca="1" si="15"/>
        <v>0</v>
      </c>
      <c r="K101" s="151">
        <f t="shared" ca="1" si="16"/>
        <v>0</v>
      </c>
      <c r="L101" s="428">
        <f t="shared" ca="1" si="17"/>
        <v>0</v>
      </c>
      <c r="M101" s="429">
        <f ca="1">IF($A101="S",VTOTALBM,IF($A101=0,0,ROUND(SomaAgrupBM,15-13*ORÇAMENTO!$AF$11)))</f>
        <v>0</v>
      </c>
      <c r="N101" s="430">
        <f t="shared" ca="1" si="18"/>
        <v>0</v>
      </c>
      <c r="O101" s="154">
        <f ca="1">IF($A101="S",VTOTALBM,IF($A101=0,0,ROUND(SomaAgrupBM,15-13*ORÇAMENTO!$AF$11)))</f>
        <v>0</v>
      </c>
      <c r="Q101" s="431"/>
      <c r="R101" s="432"/>
      <c r="T101" s="146" t="str">
        <f t="shared" ca="1" si="19"/>
        <v/>
      </c>
      <c r="U101" s="206" t="str">
        <f t="shared" ca="1" si="20"/>
        <v/>
      </c>
      <c r="V101" s="207" t="str">
        <f t="shared" ca="1" si="21"/>
        <v/>
      </c>
      <c r="W101" s="595">
        <f ca="1">IF($Y101&gt;0,CHOOSE(MATCH(RegimeExecucao,{"Unitário","Global"},0),IF($A101="S",$Y101/$X101,""),($Y101/$X101)*100),0)</f>
        <v>0</v>
      </c>
      <c r="X101" s="433" t="str">
        <f ca="1">IF($Y101&gt;0,CHOOSE(MATCH(RegimeExecucao,{"Unitário","Global"},0),IF($A101="S",ROUND($H101,ORÇAMENTO!$AF$10),""),ROUND($I101,ORÇAMENTO!$AF$11)),"")</f>
        <v/>
      </c>
      <c r="Y101" s="433">
        <f t="shared" ca="1" si="22"/>
        <v>0</v>
      </c>
      <c r="Z101" s="434"/>
      <c r="AB101" s="431"/>
      <c r="AC101" s="569"/>
      <c r="AD101" s="569"/>
      <c r="AE101" s="569"/>
      <c r="AF101" s="569"/>
      <c r="AG101" s="569"/>
      <c r="AH101" s="569"/>
      <c r="AI101" s="569"/>
      <c r="AJ101" s="569"/>
      <c r="AK101" s="569"/>
      <c r="AL101" s="569"/>
      <c r="AM101" s="432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3" t="str">
        <f t="shared" ca="1" si="12"/>
        <v/>
      </c>
      <c r="D102" s="146" t="str">
        <f ca="1">ORÇAMENTO!O102</f>
        <v>-</v>
      </c>
      <c r="E102" s="206" t="str">
        <f t="shared" ca="1" si="13"/>
        <v>(abra o arquivo 'Referência 05-2023.xls)</v>
      </c>
      <c r="F102" s="207" t="str">
        <f t="shared" ca="1" si="14"/>
        <v>-</v>
      </c>
      <c r="G102" s="151">
        <f ca="1">IF(RegimeExecucao="Global","",ORÇAMENTO!T102)</f>
        <v>0</v>
      </c>
      <c r="H102" s="151">
        <f ca="1">IF(RegimeExecucao="Global","",ORÇAMENTO!W102)</f>
        <v>0</v>
      </c>
      <c r="I102" s="154">
        <f ca="1">ORÇAMENTO!X102</f>
        <v>0</v>
      </c>
      <c r="J102" s="427">
        <f t="shared" ca="1" si="15"/>
        <v>0</v>
      </c>
      <c r="K102" s="151">
        <f t="shared" ca="1" si="16"/>
        <v>0</v>
      </c>
      <c r="L102" s="428">
        <f t="shared" ca="1" si="17"/>
        <v>0</v>
      </c>
      <c r="M102" s="429">
        <f ca="1">IF($A102="S",VTOTALBM,IF($A102=0,0,ROUND(SomaAgrupBM,15-13*ORÇAMENTO!$AF$11)))</f>
        <v>0</v>
      </c>
      <c r="N102" s="430">
        <f t="shared" ca="1" si="18"/>
        <v>0</v>
      </c>
      <c r="O102" s="154">
        <f ca="1">IF($A102="S",VTOTALBM,IF($A102=0,0,ROUND(SomaAgrupBM,15-13*ORÇAMENTO!$AF$11)))</f>
        <v>0</v>
      </c>
      <c r="Q102" s="431"/>
      <c r="R102" s="432"/>
      <c r="T102" s="146" t="str">
        <f t="shared" ca="1" si="19"/>
        <v/>
      </c>
      <c r="U102" s="206" t="str">
        <f t="shared" ca="1" si="20"/>
        <v/>
      </c>
      <c r="V102" s="207" t="str">
        <f t="shared" ca="1" si="21"/>
        <v/>
      </c>
      <c r="W102" s="595">
        <f ca="1">IF($Y102&gt;0,CHOOSE(MATCH(RegimeExecucao,{"Unitário","Global"},0),IF($A102="S",$Y102/$X102,""),($Y102/$X102)*100),0)</f>
        <v>0</v>
      </c>
      <c r="X102" s="433" t="str">
        <f ca="1">IF($Y102&gt;0,CHOOSE(MATCH(RegimeExecucao,{"Unitário","Global"},0),IF($A102="S",ROUND($H102,ORÇAMENTO!$AF$10),""),ROUND($I102,ORÇAMENTO!$AF$11)),"")</f>
        <v/>
      </c>
      <c r="Y102" s="433">
        <f t="shared" ca="1" si="22"/>
        <v>0</v>
      </c>
      <c r="Z102" s="434"/>
      <c r="AB102" s="431"/>
      <c r="AC102" s="569"/>
      <c r="AD102" s="569"/>
      <c r="AE102" s="569"/>
      <c r="AF102" s="569"/>
      <c r="AG102" s="569"/>
      <c r="AH102" s="569"/>
      <c r="AI102" s="569"/>
      <c r="AJ102" s="569"/>
      <c r="AK102" s="569"/>
      <c r="AL102" s="569"/>
      <c r="AM102" s="432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3" t="str">
        <f t="shared" ca="1" si="12"/>
        <v/>
      </c>
      <c r="D103" s="146" t="str">
        <f ca="1">ORÇAMENTO!O103</f>
        <v>-</v>
      </c>
      <c r="E103" s="206" t="str">
        <f t="shared" ca="1" si="13"/>
        <v>(abra o arquivo 'Referência 05-2023.xls)</v>
      </c>
      <c r="F103" s="207" t="str">
        <f t="shared" ca="1" si="14"/>
        <v>-</v>
      </c>
      <c r="G103" s="151">
        <f ca="1">IF(RegimeExecucao="Global","",ORÇAMENTO!T103)</f>
        <v>0</v>
      </c>
      <c r="H103" s="151">
        <f ca="1">IF(RegimeExecucao="Global","",ORÇAMENTO!W103)</f>
        <v>0</v>
      </c>
      <c r="I103" s="154">
        <f ca="1">ORÇAMENTO!X103</f>
        <v>0</v>
      </c>
      <c r="J103" s="427">
        <f t="shared" ca="1" si="15"/>
        <v>0</v>
      </c>
      <c r="K103" s="151">
        <f t="shared" ca="1" si="16"/>
        <v>0</v>
      </c>
      <c r="L103" s="428">
        <f t="shared" ca="1" si="17"/>
        <v>0</v>
      </c>
      <c r="M103" s="429">
        <f ca="1">IF($A103="S",VTOTALBM,IF($A103=0,0,ROUND(SomaAgrupBM,15-13*ORÇAMENTO!$AF$11)))</f>
        <v>0</v>
      </c>
      <c r="N103" s="430">
        <f t="shared" ca="1" si="18"/>
        <v>0</v>
      </c>
      <c r="O103" s="154">
        <f ca="1">IF($A103="S",VTOTALBM,IF($A103=0,0,ROUND(SomaAgrupBM,15-13*ORÇAMENTO!$AF$11)))</f>
        <v>0</v>
      </c>
      <c r="Q103" s="431"/>
      <c r="R103" s="432"/>
      <c r="T103" s="146" t="str">
        <f t="shared" ca="1" si="19"/>
        <v/>
      </c>
      <c r="U103" s="206" t="str">
        <f t="shared" ca="1" si="20"/>
        <v/>
      </c>
      <c r="V103" s="207" t="str">
        <f t="shared" ca="1" si="21"/>
        <v/>
      </c>
      <c r="W103" s="595">
        <f ca="1">IF($Y103&gt;0,CHOOSE(MATCH(RegimeExecucao,{"Unitário","Global"},0),IF($A103="S",$Y103/$X103,""),($Y103/$X103)*100),0)</f>
        <v>0</v>
      </c>
      <c r="X103" s="433" t="str">
        <f ca="1">IF($Y103&gt;0,CHOOSE(MATCH(RegimeExecucao,{"Unitário","Global"},0),IF($A103="S",ROUND($H103,ORÇAMENTO!$AF$10),""),ROUND($I103,ORÇAMENTO!$AF$11)),"")</f>
        <v/>
      </c>
      <c r="Y103" s="433">
        <f t="shared" ca="1" si="22"/>
        <v>0</v>
      </c>
      <c r="Z103" s="434"/>
      <c r="AB103" s="431"/>
      <c r="AC103" s="569"/>
      <c r="AD103" s="569"/>
      <c r="AE103" s="569"/>
      <c r="AF103" s="569"/>
      <c r="AG103" s="569"/>
      <c r="AH103" s="569"/>
      <c r="AI103" s="569"/>
      <c r="AJ103" s="569"/>
      <c r="AK103" s="569"/>
      <c r="AL103" s="569"/>
      <c r="AM103" s="432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3" t="str">
        <f t="shared" ca="1" si="12"/>
        <v/>
      </c>
      <c r="D104" s="146" t="str">
        <f ca="1">ORÇAMENTO!O104</f>
        <v>-</v>
      </c>
      <c r="E104" s="206" t="str">
        <f t="shared" ca="1" si="13"/>
        <v>(abra o arquivo 'Referência 05-2023.xls)</v>
      </c>
      <c r="F104" s="207" t="str">
        <f t="shared" ca="1" si="14"/>
        <v>-</v>
      </c>
      <c r="G104" s="151">
        <f ca="1">IF(RegimeExecucao="Global","",ORÇAMENTO!T104)</f>
        <v>0</v>
      </c>
      <c r="H104" s="151">
        <f ca="1">IF(RegimeExecucao="Global","",ORÇAMENTO!W104)</f>
        <v>0</v>
      </c>
      <c r="I104" s="154">
        <f ca="1">ORÇAMENTO!X104</f>
        <v>0</v>
      </c>
      <c r="J104" s="427">
        <f t="shared" ca="1" si="15"/>
        <v>0</v>
      </c>
      <c r="K104" s="151">
        <f t="shared" ca="1" si="16"/>
        <v>0</v>
      </c>
      <c r="L104" s="428">
        <f t="shared" ca="1" si="17"/>
        <v>0</v>
      </c>
      <c r="M104" s="429">
        <f ca="1">IF($A104="S",VTOTALBM,IF($A104=0,0,ROUND(SomaAgrupBM,15-13*ORÇAMENTO!$AF$11)))</f>
        <v>0</v>
      </c>
      <c r="N104" s="430">
        <f t="shared" ca="1" si="18"/>
        <v>0</v>
      </c>
      <c r="O104" s="154">
        <f ca="1">IF($A104="S",VTOTALBM,IF($A104=0,0,ROUND(SomaAgrupBM,15-13*ORÇAMENTO!$AF$11)))</f>
        <v>0</v>
      </c>
      <c r="Q104" s="431"/>
      <c r="R104" s="432"/>
      <c r="T104" s="146" t="str">
        <f t="shared" ca="1" si="19"/>
        <v/>
      </c>
      <c r="U104" s="206" t="str">
        <f t="shared" ca="1" si="20"/>
        <v/>
      </c>
      <c r="V104" s="207" t="str">
        <f t="shared" ca="1" si="21"/>
        <v/>
      </c>
      <c r="W104" s="595">
        <f ca="1">IF($Y104&gt;0,CHOOSE(MATCH(RegimeExecucao,{"Unitário","Global"},0),IF($A104="S",$Y104/$X104,""),($Y104/$X104)*100),0)</f>
        <v>0</v>
      </c>
      <c r="X104" s="433" t="str">
        <f ca="1">IF($Y104&gt;0,CHOOSE(MATCH(RegimeExecucao,{"Unitário","Global"},0),IF($A104="S",ROUND($H104,ORÇAMENTO!$AF$10),""),ROUND($I104,ORÇAMENTO!$AF$11)),"")</f>
        <v/>
      </c>
      <c r="Y104" s="433">
        <f t="shared" ca="1" si="22"/>
        <v>0</v>
      </c>
      <c r="Z104" s="434"/>
      <c r="AB104" s="431"/>
      <c r="AC104" s="569"/>
      <c r="AD104" s="569"/>
      <c r="AE104" s="569"/>
      <c r="AF104" s="569"/>
      <c r="AG104" s="569"/>
      <c r="AH104" s="569"/>
      <c r="AI104" s="569"/>
      <c r="AJ104" s="569"/>
      <c r="AK104" s="569"/>
      <c r="AL104" s="569"/>
      <c r="AM104" s="432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3" t="str">
        <f t="shared" ca="1" si="12"/>
        <v/>
      </c>
      <c r="D105" s="146" t="str">
        <f ca="1">ORÇAMENTO!O105</f>
        <v>-</v>
      </c>
      <c r="E105" s="206" t="str">
        <f t="shared" ca="1" si="13"/>
        <v>(abra o arquivo 'Referência 05-2023.xls)</v>
      </c>
      <c r="F105" s="207" t="str">
        <f t="shared" ca="1" si="14"/>
        <v>-</v>
      </c>
      <c r="G105" s="151">
        <f ca="1">IF(RegimeExecucao="Global","",ORÇAMENTO!T105)</f>
        <v>0</v>
      </c>
      <c r="H105" s="151">
        <f ca="1">IF(RegimeExecucao="Global","",ORÇAMENTO!W105)</f>
        <v>0</v>
      </c>
      <c r="I105" s="154">
        <f ca="1">ORÇAMENTO!X105</f>
        <v>0</v>
      </c>
      <c r="J105" s="427">
        <f t="shared" ca="1" si="15"/>
        <v>0</v>
      </c>
      <c r="K105" s="151">
        <f t="shared" ca="1" si="16"/>
        <v>0</v>
      </c>
      <c r="L105" s="428">
        <f t="shared" ca="1" si="17"/>
        <v>0</v>
      </c>
      <c r="M105" s="429">
        <f ca="1">IF($A105="S",VTOTALBM,IF($A105=0,0,ROUND(SomaAgrupBM,15-13*ORÇAMENTO!$AF$11)))</f>
        <v>0</v>
      </c>
      <c r="N105" s="430">
        <f t="shared" ca="1" si="18"/>
        <v>0</v>
      </c>
      <c r="O105" s="154">
        <f ca="1">IF($A105="S",VTOTALBM,IF($A105=0,0,ROUND(SomaAgrupBM,15-13*ORÇAMENTO!$AF$11)))</f>
        <v>0</v>
      </c>
      <c r="Q105" s="431"/>
      <c r="R105" s="432"/>
      <c r="T105" s="146" t="str">
        <f t="shared" ca="1" si="19"/>
        <v/>
      </c>
      <c r="U105" s="206" t="str">
        <f t="shared" ca="1" si="20"/>
        <v/>
      </c>
      <c r="V105" s="207" t="str">
        <f t="shared" ca="1" si="21"/>
        <v/>
      </c>
      <c r="W105" s="595">
        <f ca="1">IF($Y105&gt;0,CHOOSE(MATCH(RegimeExecucao,{"Unitário","Global"},0),IF($A105="S",$Y105/$X105,""),($Y105/$X105)*100),0)</f>
        <v>0</v>
      </c>
      <c r="X105" s="433" t="str">
        <f ca="1">IF($Y105&gt;0,CHOOSE(MATCH(RegimeExecucao,{"Unitário","Global"},0),IF($A105="S",ROUND($H105,ORÇAMENTO!$AF$10),""),ROUND($I105,ORÇAMENTO!$AF$11)),"")</f>
        <v/>
      </c>
      <c r="Y105" s="433">
        <f t="shared" ca="1" si="22"/>
        <v>0</v>
      </c>
      <c r="Z105" s="434"/>
      <c r="AB105" s="431"/>
      <c r="AC105" s="569"/>
      <c r="AD105" s="569"/>
      <c r="AE105" s="569"/>
      <c r="AF105" s="569"/>
      <c r="AG105" s="569"/>
      <c r="AH105" s="569"/>
      <c r="AI105" s="569"/>
      <c r="AJ105" s="569"/>
      <c r="AK105" s="569"/>
      <c r="AL105" s="569"/>
      <c r="AM105" s="432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3" t="str">
        <f t="shared" ca="1" si="12"/>
        <v/>
      </c>
      <c r="D106" s="146" t="str">
        <f ca="1">ORÇAMENTO!O106</f>
        <v>-</v>
      </c>
      <c r="E106" s="206" t="str">
        <f t="shared" ca="1" si="13"/>
        <v>(abra o arquivo 'Referência 05-2023.xls)</v>
      </c>
      <c r="F106" s="207" t="str">
        <f t="shared" ca="1" si="14"/>
        <v>-</v>
      </c>
      <c r="G106" s="151">
        <f ca="1">IF(RegimeExecucao="Global","",ORÇAMENTO!T106)</f>
        <v>0</v>
      </c>
      <c r="H106" s="151">
        <f ca="1">IF(RegimeExecucao="Global","",ORÇAMENTO!W106)</f>
        <v>0</v>
      </c>
      <c r="I106" s="154">
        <f ca="1">ORÇAMENTO!X106</f>
        <v>0</v>
      </c>
      <c r="J106" s="427">
        <f t="shared" ca="1" si="15"/>
        <v>0</v>
      </c>
      <c r="K106" s="151">
        <f t="shared" ca="1" si="16"/>
        <v>0</v>
      </c>
      <c r="L106" s="428">
        <f t="shared" ca="1" si="17"/>
        <v>0</v>
      </c>
      <c r="M106" s="429">
        <f ca="1">IF($A106="S",VTOTALBM,IF($A106=0,0,ROUND(SomaAgrupBM,15-13*ORÇAMENTO!$AF$11)))</f>
        <v>0</v>
      </c>
      <c r="N106" s="430">
        <f t="shared" ca="1" si="18"/>
        <v>0</v>
      </c>
      <c r="O106" s="154">
        <f ca="1">IF($A106="S",VTOTALBM,IF($A106=0,0,ROUND(SomaAgrupBM,15-13*ORÇAMENTO!$AF$11)))</f>
        <v>0</v>
      </c>
      <c r="Q106" s="431"/>
      <c r="R106" s="432"/>
      <c r="T106" s="146" t="str">
        <f t="shared" ca="1" si="19"/>
        <v/>
      </c>
      <c r="U106" s="206" t="str">
        <f t="shared" ca="1" si="20"/>
        <v/>
      </c>
      <c r="V106" s="207" t="str">
        <f t="shared" ca="1" si="21"/>
        <v/>
      </c>
      <c r="W106" s="595">
        <f ca="1">IF($Y106&gt;0,CHOOSE(MATCH(RegimeExecucao,{"Unitário","Global"},0),IF($A106="S",$Y106/$X106,""),($Y106/$X106)*100),0)</f>
        <v>0</v>
      </c>
      <c r="X106" s="433" t="str">
        <f ca="1">IF($Y106&gt;0,CHOOSE(MATCH(RegimeExecucao,{"Unitário","Global"},0),IF($A106="S",ROUND($H106,ORÇAMENTO!$AF$10),""),ROUND($I106,ORÇAMENTO!$AF$11)),"")</f>
        <v/>
      </c>
      <c r="Y106" s="433">
        <f t="shared" ca="1" si="22"/>
        <v>0</v>
      </c>
      <c r="Z106" s="434"/>
      <c r="AB106" s="431"/>
      <c r="AC106" s="569"/>
      <c r="AD106" s="569"/>
      <c r="AE106" s="569"/>
      <c r="AF106" s="569"/>
      <c r="AG106" s="569"/>
      <c r="AH106" s="569"/>
      <c r="AI106" s="569"/>
      <c r="AJ106" s="569"/>
      <c r="AK106" s="569"/>
      <c r="AL106" s="569"/>
      <c r="AM106" s="432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3" t="str">
        <f t="shared" ca="1" si="12"/>
        <v/>
      </c>
      <c r="D107" s="146" t="str">
        <f ca="1">ORÇAMENTO!O107</f>
        <v>-</v>
      </c>
      <c r="E107" s="206" t="str">
        <f t="shared" ca="1" si="13"/>
        <v>(abra o arquivo 'Referência 05-2023.xls)</v>
      </c>
      <c r="F107" s="207" t="str">
        <f t="shared" ca="1" si="14"/>
        <v>-</v>
      </c>
      <c r="G107" s="151">
        <f ca="1">IF(RegimeExecucao="Global","",ORÇAMENTO!T107)</f>
        <v>0</v>
      </c>
      <c r="H107" s="151">
        <f ca="1">IF(RegimeExecucao="Global","",ORÇAMENTO!W107)</f>
        <v>0</v>
      </c>
      <c r="I107" s="154">
        <f ca="1">ORÇAMENTO!X107</f>
        <v>0</v>
      </c>
      <c r="J107" s="427">
        <f t="shared" ca="1" si="15"/>
        <v>0</v>
      </c>
      <c r="K107" s="151">
        <f t="shared" ca="1" si="16"/>
        <v>0</v>
      </c>
      <c r="L107" s="428">
        <f t="shared" ca="1" si="17"/>
        <v>0</v>
      </c>
      <c r="M107" s="429">
        <f ca="1">IF($A107="S",VTOTALBM,IF($A107=0,0,ROUND(SomaAgrupBM,15-13*ORÇAMENTO!$AF$11)))</f>
        <v>0</v>
      </c>
      <c r="N107" s="430">
        <f t="shared" ca="1" si="18"/>
        <v>0</v>
      </c>
      <c r="O107" s="154">
        <f ca="1">IF($A107="S",VTOTALBM,IF($A107=0,0,ROUND(SomaAgrupBM,15-13*ORÇAMENTO!$AF$11)))</f>
        <v>0</v>
      </c>
      <c r="Q107" s="431"/>
      <c r="R107" s="432"/>
      <c r="T107" s="146" t="str">
        <f t="shared" ca="1" si="19"/>
        <v/>
      </c>
      <c r="U107" s="206" t="str">
        <f t="shared" ca="1" si="20"/>
        <v/>
      </c>
      <c r="V107" s="207" t="str">
        <f t="shared" ca="1" si="21"/>
        <v/>
      </c>
      <c r="W107" s="595">
        <f ca="1">IF($Y107&gt;0,CHOOSE(MATCH(RegimeExecucao,{"Unitário","Global"},0),IF($A107="S",$Y107/$X107,""),($Y107/$X107)*100),0)</f>
        <v>0</v>
      </c>
      <c r="X107" s="433" t="str">
        <f ca="1">IF($Y107&gt;0,CHOOSE(MATCH(RegimeExecucao,{"Unitário","Global"},0),IF($A107="S",ROUND($H107,ORÇAMENTO!$AF$10),""),ROUND($I107,ORÇAMENTO!$AF$11)),"")</f>
        <v/>
      </c>
      <c r="Y107" s="433">
        <f t="shared" ca="1" si="22"/>
        <v>0</v>
      </c>
      <c r="Z107" s="434"/>
      <c r="AB107" s="431"/>
      <c r="AC107" s="569"/>
      <c r="AD107" s="569"/>
      <c r="AE107" s="569"/>
      <c r="AF107" s="569"/>
      <c r="AG107" s="569"/>
      <c r="AH107" s="569"/>
      <c r="AI107" s="569"/>
      <c r="AJ107" s="569"/>
      <c r="AK107" s="569"/>
      <c r="AL107" s="569"/>
      <c r="AM107" s="432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3" t="str">
        <f t="shared" ca="1" si="12"/>
        <v/>
      </c>
      <c r="D108" s="146" t="str">
        <f ca="1">ORÇAMENTO!O108</f>
        <v>-</v>
      </c>
      <c r="E108" s="206" t="str">
        <f t="shared" ca="1" si="13"/>
        <v>(abra o arquivo 'Referência 05-2023.xls)</v>
      </c>
      <c r="F108" s="207" t="str">
        <f t="shared" ca="1" si="14"/>
        <v>-</v>
      </c>
      <c r="G108" s="151">
        <f ca="1">IF(RegimeExecucao="Global","",ORÇAMENTO!T108)</f>
        <v>0</v>
      </c>
      <c r="H108" s="151">
        <f ca="1">IF(RegimeExecucao="Global","",ORÇAMENTO!W108)</f>
        <v>0</v>
      </c>
      <c r="I108" s="154">
        <f ca="1">ORÇAMENTO!X108</f>
        <v>0</v>
      </c>
      <c r="J108" s="427">
        <f t="shared" ca="1" si="15"/>
        <v>0</v>
      </c>
      <c r="K108" s="151">
        <f t="shared" ca="1" si="16"/>
        <v>0</v>
      </c>
      <c r="L108" s="428">
        <f t="shared" ca="1" si="17"/>
        <v>0</v>
      </c>
      <c r="M108" s="429">
        <f ca="1">IF($A108="S",VTOTALBM,IF($A108=0,0,ROUND(SomaAgrupBM,15-13*ORÇAMENTO!$AF$11)))</f>
        <v>0</v>
      </c>
      <c r="N108" s="430">
        <f t="shared" ca="1" si="18"/>
        <v>0</v>
      </c>
      <c r="O108" s="154">
        <f ca="1">IF($A108="S",VTOTALBM,IF($A108=0,0,ROUND(SomaAgrupBM,15-13*ORÇAMENTO!$AF$11)))</f>
        <v>0</v>
      </c>
      <c r="Q108" s="431"/>
      <c r="R108" s="432"/>
      <c r="T108" s="146" t="str">
        <f t="shared" ca="1" si="19"/>
        <v/>
      </c>
      <c r="U108" s="206" t="str">
        <f t="shared" ca="1" si="20"/>
        <v/>
      </c>
      <c r="V108" s="207" t="str">
        <f t="shared" ca="1" si="21"/>
        <v/>
      </c>
      <c r="W108" s="595">
        <f ca="1">IF($Y108&gt;0,CHOOSE(MATCH(RegimeExecucao,{"Unitário","Global"},0),IF($A108="S",$Y108/$X108,""),($Y108/$X108)*100),0)</f>
        <v>0</v>
      </c>
      <c r="X108" s="433" t="str">
        <f ca="1">IF($Y108&gt;0,CHOOSE(MATCH(RegimeExecucao,{"Unitário","Global"},0),IF($A108="S",ROUND($H108,ORÇAMENTO!$AF$10),""),ROUND($I108,ORÇAMENTO!$AF$11)),"")</f>
        <v/>
      </c>
      <c r="Y108" s="433">
        <f t="shared" ca="1" si="22"/>
        <v>0</v>
      </c>
      <c r="Z108" s="434"/>
      <c r="AB108" s="431"/>
      <c r="AC108" s="569"/>
      <c r="AD108" s="569"/>
      <c r="AE108" s="569"/>
      <c r="AF108" s="569"/>
      <c r="AG108" s="569"/>
      <c r="AH108" s="569"/>
      <c r="AI108" s="569"/>
      <c r="AJ108" s="569"/>
      <c r="AK108" s="569"/>
      <c r="AL108" s="569"/>
      <c r="AM108" s="432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3" t="str">
        <f t="shared" ca="1" si="12"/>
        <v/>
      </c>
      <c r="D109" s="146" t="str">
        <f ca="1">ORÇAMENTO!O109</f>
        <v>-</v>
      </c>
      <c r="E109" s="206" t="str">
        <f t="shared" ca="1" si="13"/>
        <v>(abra o arquivo 'Referência 05-2023.xls)</v>
      </c>
      <c r="F109" s="207" t="str">
        <f t="shared" ca="1" si="14"/>
        <v>-</v>
      </c>
      <c r="G109" s="151">
        <f ca="1">IF(RegimeExecucao="Global","",ORÇAMENTO!T109)</f>
        <v>0</v>
      </c>
      <c r="H109" s="151">
        <f ca="1">IF(RegimeExecucao="Global","",ORÇAMENTO!W109)</f>
        <v>0</v>
      </c>
      <c r="I109" s="154">
        <f ca="1">ORÇAMENTO!X109</f>
        <v>0</v>
      </c>
      <c r="J109" s="427">
        <f t="shared" ca="1" si="15"/>
        <v>0</v>
      </c>
      <c r="K109" s="151">
        <f t="shared" ca="1" si="16"/>
        <v>0</v>
      </c>
      <c r="L109" s="428">
        <f t="shared" ca="1" si="17"/>
        <v>0</v>
      </c>
      <c r="M109" s="429">
        <f ca="1">IF($A109="S",VTOTALBM,IF($A109=0,0,ROUND(SomaAgrupBM,15-13*ORÇAMENTO!$AF$11)))</f>
        <v>0</v>
      </c>
      <c r="N109" s="430">
        <f t="shared" ca="1" si="18"/>
        <v>0</v>
      </c>
      <c r="O109" s="154">
        <f ca="1">IF($A109="S",VTOTALBM,IF($A109=0,0,ROUND(SomaAgrupBM,15-13*ORÇAMENTO!$AF$11)))</f>
        <v>0</v>
      </c>
      <c r="Q109" s="431"/>
      <c r="R109" s="432"/>
      <c r="T109" s="146" t="str">
        <f t="shared" ca="1" si="19"/>
        <v/>
      </c>
      <c r="U109" s="206" t="str">
        <f t="shared" ca="1" si="20"/>
        <v/>
      </c>
      <c r="V109" s="207" t="str">
        <f t="shared" ca="1" si="21"/>
        <v/>
      </c>
      <c r="W109" s="595">
        <f ca="1">IF($Y109&gt;0,CHOOSE(MATCH(RegimeExecucao,{"Unitário","Global"},0),IF($A109="S",$Y109/$X109,""),($Y109/$X109)*100),0)</f>
        <v>0</v>
      </c>
      <c r="X109" s="433" t="str">
        <f ca="1">IF($Y109&gt;0,CHOOSE(MATCH(RegimeExecucao,{"Unitário","Global"},0),IF($A109="S",ROUND($H109,ORÇAMENTO!$AF$10),""),ROUND($I109,ORÇAMENTO!$AF$11)),"")</f>
        <v/>
      </c>
      <c r="Y109" s="433">
        <f t="shared" ca="1" si="22"/>
        <v>0</v>
      </c>
      <c r="Z109" s="434"/>
      <c r="AB109" s="431"/>
      <c r="AC109" s="569"/>
      <c r="AD109" s="569"/>
      <c r="AE109" s="569"/>
      <c r="AF109" s="569"/>
      <c r="AG109" s="569"/>
      <c r="AH109" s="569"/>
      <c r="AI109" s="569"/>
      <c r="AJ109" s="569"/>
      <c r="AK109" s="569"/>
      <c r="AL109" s="569"/>
      <c r="AM109" s="432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3" t="str">
        <f t="shared" ca="1" si="12"/>
        <v/>
      </c>
      <c r="D110" s="146" t="str">
        <f ca="1">ORÇAMENTO!O110</f>
        <v>-</v>
      </c>
      <c r="E110" s="206" t="str">
        <f t="shared" ca="1" si="13"/>
        <v>(abra o arquivo 'Referência 05-2023.xls)</v>
      </c>
      <c r="F110" s="207" t="str">
        <f t="shared" ca="1" si="14"/>
        <v>-</v>
      </c>
      <c r="G110" s="151">
        <f ca="1">IF(RegimeExecucao="Global","",ORÇAMENTO!T110)</f>
        <v>0</v>
      </c>
      <c r="H110" s="151">
        <f ca="1">IF(RegimeExecucao="Global","",ORÇAMENTO!W110)</f>
        <v>0</v>
      </c>
      <c r="I110" s="154">
        <f ca="1">ORÇAMENTO!X110</f>
        <v>0</v>
      </c>
      <c r="J110" s="427">
        <f t="shared" ca="1" si="15"/>
        <v>0</v>
      </c>
      <c r="K110" s="151">
        <f t="shared" ca="1" si="16"/>
        <v>0</v>
      </c>
      <c r="L110" s="428">
        <f t="shared" ca="1" si="17"/>
        <v>0</v>
      </c>
      <c r="M110" s="429">
        <f ca="1">IF($A110="S",VTOTALBM,IF($A110=0,0,ROUND(SomaAgrupBM,15-13*ORÇAMENTO!$AF$11)))</f>
        <v>0</v>
      </c>
      <c r="N110" s="430">
        <f t="shared" ca="1" si="18"/>
        <v>0</v>
      </c>
      <c r="O110" s="154">
        <f ca="1">IF($A110="S",VTOTALBM,IF($A110=0,0,ROUND(SomaAgrupBM,15-13*ORÇAMENTO!$AF$11)))</f>
        <v>0</v>
      </c>
      <c r="Q110" s="431"/>
      <c r="R110" s="432"/>
      <c r="T110" s="146" t="str">
        <f t="shared" ca="1" si="19"/>
        <v/>
      </c>
      <c r="U110" s="206" t="str">
        <f t="shared" ca="1" si="20"/>
        <v/>
      </c>
      <c r="V110" s="207" t="str">
        <f t="shared" ca="1" si="21"/>
        <v/>
      </c>
      <c r="W110" s="595">
        <f ca="1">IF($Y110&gt;0,CHOOSE(MATCH(RegimeExecucao,{"Unitário","Global"},0),IF($A110="S",$Y110/$X110,""),($Y110/$X110)*100),0)</f>
        <v>0</v>
      </c>
      <c r="X110" s="433" t="str">
        <f ca="1">IF($Y110&gt;0,CHOOSE(MATCH(RegimeExecucao,{"Unitário","Global"},0),IF($A110="S",ROUND($H110,ORÇAMENTO!$AF$10),""),ROUND($I110,ORÇAMENTO!$AF$11)),"")</f>
        <v/>
      </c>
      <c r="Y110" s="433">
        <f t="shared" ca="1" si="22"/>
        <v>0</v>
      </c>
      <c r="Z110" s="434"/>
      <c r="AB110" s="431"/>
      <c r="AC110" s="569"/>
      <c r="AD110" s="569"/>
      <c r="AE110" s="569"/>
      <c r="AF110" s="569"/>
      <c r="AG110" s="569"/>
      <c r="AH110" s="569"/>
      <c r="AI110" s="569"/>
      <c r="AJ110" s="569"/>
      <c r="AK110" s="569"/>
      <c r="AL110" s="569"/>
      <c r="AM110" s="432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3" t="str">
        <f t="shared" ca="1" si="12"/>
        <v/>
      </c>
      <c r="D111" s="146" t="str">
        <f ca="1">ORÇAMENTO!O111</f>
        <v>-</v>
      </c>
      <c r="E111" s="206" t="str">
        <f t="shared" ca="1" si="13"/>
        <v>(abra o arquivo 'Referência 05-2023.xls)</v>
      </c>
      <c r="F111" s="207" t="str">
        <f t="shared" ca="1" si="14"/>
        <v>-</v>
      </c>
      <c r="G111" s="151">
        <f ca="1">IF(RegimeExecucao="Global","",ORÇAMENTO!T111)</f>
        <v>0</v>
      </c>
      <c r="H111" s="151">
        <f ca="1">IF(RegimeExecucao="Global","",ORÇAMENTO!W111)</f>
        <v>0</v>
      </c>
      <c r="I111" s="154">
        <f ca="1">ORÇAMENTO!X111</f>
        <v>0</v>
      </c>
      <c r="J111" s="427">
        <f t="shared" ca="1" si="15"/>
        <v>0</v>
      </c>
      <c r="K111" s="151">
        <f t="shared" ca="1" si="16"/>
        <v>0</v>
      </c>
      <c r="L111" s="428">
        <f t="shared" ca="1" si="17"/>
        <v>0</v>
      </c>
      <c r="M111" s="429">
        <f ca="1">IF($A111="S",VTOTALBM,IF($A111=0,0,ROUND(SomaAgrupBM,15-13*ORÇAMENTO!$AF$11)))</f>
        <v>0</v>
      </c>
      <c r="N111" s="430">
        <f t="shared" ca="1" si="18"/>
        <v>0</v>
      </c>
      <c r="O111" s="154">
        <f ca="1">IF($A111="S",VTOTALBM,IF($A111=0,0,ROUND(SomaAgrupBM,15-13*ORÇAMENTO!$AF$11)))</f>
        <v>0</v>
      </c>
      <c r="Q111" s="431"/>
      <c r="R111" s="432"/>
      <c r="T111" s="146" t="str">
        <f t="shared" ca="1" si="19"/>
        <v/>
      </c>
      <c r="U111" s="206" t="str">
        <f t="shared" ca="1" si="20"/>
        <v/>
      </c>
      <c r="V111" s="207" t="str">
        <f t="shared" ca="1" si="21"/>
        <v/>
      </c>
      <c r="W111" s="595">
        <f ca="1">IF($Y111&gt;0,CHOOSE(MATCH(RegimeExecucao,{"Unitário","Global"},0),IF($A111="S",$Y111/$X111,""),($Y111/$X111)*100),0)</f>
        <v>0</v>
      </c>
      <c r="X111" s="433" t="str">
        <f ca="1">IF($Y111&gt;0,CHOOSE(MATCH(RegimeExecucao,{"Unitário","Global"},0),IF($A111="S",ROUND($H111,ORÇAMENTO!$AF$10),""),ROUND($I111,ORÇAMENTO!$AF$11)),"")</f>
        <v/>
      </c>
      <c r="Y111" s="433">
        <f t="shared" ca="1" si="22"/>
        <v>0</v>
      </c>
      <c r="Z111" s="434"/>
      <c r="AB111" s="431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432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3" t="str">
        <f t="shared" ca="1" si="12"/>
        <v/>
      </c>
      <c r="D112" s="146" t="str">
        <f ca="1">ORÇAMENTO!O112</f>
        <v>-</v>
      </c>
      <c r="E112" s="206" t="str">
        <f t="shared" ca="1" si="13"/>
        <v>(abra o arquivo 'Referência 05-2023.xls)</v>
      </c>
      <c r="F112" s="207" t="str">
        <f t="shared" ca="1" si="14"/>
        <v>-</v>
      </c>
      <c r="G112" s="151">
        <f ca="1">IF(RegimeExecucao="Global","",ORÇAMENTO!T112)</f>
        <v>0</v>
      </c>
      <c r="H112" s="151">
        <f ca="1">IF(RegimeExecucao="Global","",ORÇAMENTO!W112)</f>
        <v>0</v>
      </c>
      <c r="I112" s="154">
        <f ca="1">ORÇAMENTO!X112</f>
        <v>0</v>
      </c>
      <c r="J112" s="427">
        <f t="shared" ca="1" si="15"/>
        <v>0</v>
      </c>
      <c r="K112" s="151">
        <f t="shared" ca="1" si="16"/>
        <v>0</v>
      </c>
      <c r="L112" s="428">
        <f t="shared" ca="1" si="17"/>
        <v>0</v>
      </c>
      <c r="M112" s="429">
        <f ca="1">IF($A112="S",VTOTALBM,IF($A112=0,0,ROUND(SomaAgrupBM,15-13*ORÇAMENTO!$AF$11)))</f>
        <v>0</v>
      </c>
      <c r="N112" s="430">
        <f t="shared" ca="1" si="18"/>
        <v>0</v>
      </c>
      <c r="O112" s="154">
        <f ca="1">IF($A112="S",VTOTALBM,IF($A112=0,0,ROUND(SomaAgrupBM,15-13*ORÇAMENTO!$AF$11)))</f>
        <v>0</v>
      </c>
      <c r="Q112" s="431"/>
      <c r="R112" s="432"/>
      <c r="T112" s="146" t="str">
        <f t="shared" ca="1" si="19"/>
        <v/>
      </c>
      <c r="U112" s="206" t="str">
        <f t="shared" ca="1" si="20"/>
        <v/>
      </c>
      <c r="V112" s="207" t="str">
        <f t="shared" ca="1" si="21"/>
        <v/>
      </c>
      <c r="W112" s="595">
        <f ca="1">IF($Y112&gt;0,CHOOSE(MATCH(RegimeExecucao,{"Unitário","Global"},0),IF($A112="S",$Y112/$X112,""),($Y112/$X112)*100),0)</f>
        <v>0</v>
      </c>
      <c r="X112" s="433" t="str">
        <f ca="1">IF($Y112&gt;0,CHOOSE(MATCH(RegimeExecucao,{"Unitário","Global"},0),IF($A112="S",ROUND($H112,ORÇAMENTO!$AF$10),""),ROUND($I112,ORÇAMENTO!$AF$11)),"")</f>
        <v/>
      </c>
      <c r="Y112" s="433">
        <f t="shared" ca="1" si="22"/>
        <v>0</v>
      </c>
      <c r="Z112" s="434"/>
      <c r="AB112" s="431"/>
      <c r="AC112" s="569"/>
      <c r="AD112" s="569"/>
      <c r="AE112" s="569"/>
      <c r="AF112" s="569"/>
      <c r="AG112" s="569"/>
      <c r="AH112" s="569"/>
      <c r="AI112" s="569"/>
      <c r="AJ112" s="569"/>
      <c r="AK112" s="569"/>
      <c r="AL112" s="569"/>
      <c r="AM112" s="432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3" t="str">
        <f t="shared" ca="1" si="12"/>
        <v/>
      </c>
      <c r="D113" s="146" t="str">
        <f ca="1">ORÇAMENTO!O113</f>
        <v>-</v>
      </c>
      <c r="E113" s="206" t="str">
        <f t="shared" ca="1" si="13"/>
        <v>(abra o arquivo 'Referência 05-2023.xls)</v>
      </c>
      <c r="F113" s="207" t="str">
        <f t="shared" ca="1" si="14"/>
        <v>-</v>
      </c>
      <c r="G113" s="151">
        <f ca="1">IF(RegimeExecucao="Global","",ORÇAMENTO!T113)</f>
        <v>0</v>
      </c>
      <c r="H113" s="151">
        <f ca="1">IF(RegimeExecucao="Global","",ORÇAMENTO!W113)</f>
        <v>0</v>
      </c>
      <c r="I113" s="154">
        <f ca="1">ORÇAMENTO!X113</f>
        <v>0</v>
      </c>
      <c r="J113" s="427">
        <f t="shared" ca="1" si="15"/>
        <v>0</v>
      </c>
      <c r="K113" s="151">
        <f t="shared" ca="1" si="16"/>
        <v>0</v>
      </c>
      <c r="L113" s="428">
        <f t="shared" ca="1" si="17"/>
        <v>0</v>
      </c>
      <c r="M113" s="429">
        <f ca="1">IF($A113="S",VTOTALBM,IF($A113=0,0,ROUND(SomaAgrupBM,15-13*ORÇAMENTO!$AF$11)))</f>
        <v>0</v>
      </c>
      <c r="N113" s="430">
        <f t="shared" ca="1" si="18"/>
        <v>0</v>
      </c>
      <c r="O113" s="154">
        <f ca="1">IF($A113="S",VTOTALBM,IF($A113=0,0,ROUND(SomaAgrupBM,15-13*ORÇAMENTO!$AF$11)))</f>
        <v>0</v>
      </c>
      <c r="Q113" s="431"/>
      <c r="R113" s="432"/>
      <c r="T113" s="146" t="str">
        <f t="shared" ca="1" si="19"/>
        <v/>
      </c>
      <c r="U113" s="206" t="str">
        <f t="shared" ca="1" si="20"/>
        <v/>
      </c>
      <c r="V113" s="207" t="str">
        <f t="shared" ca="1" si="21"/>
        <v/>
      </c>
      <c r="W113" s="595">
        <f ca="1">IF($Y113&gt;0,CHOOSE(MATCH(RegimeExecucao,{"Unitário","Global"},0),IF($A113="S",$Y113/$X113,""),($Y113/$X113)*100),0)</f>
        <v>0</v>
      </c>
      <c r="X113" s="433" t="str">
        <f ca="1">IF($Y113&gt;0,CHOOSE(MATCH(RegimeExecucao,{"Unitário","Global"},0),IF($A113="S",ROUND($H113,ORÇAMENTO!$AF$10),""),ROUND($I113,ORÇAMENTO!$AF$11)),"")</f>
        <v/>
      </c>
      <c r="Y113" s="433">
        <f t="shared" ca="1" si="22"/>
        <v>0</v>
      </c>
      <c r="Z113" s="434"/>
      <c r="AB113" s="431"/>
      <c r="AC113" s="569"/>
      <c r="AD113" s="569"/>
      <c r="AE113" s="569"/>
      <c r="AF113" s="569"/>
      <c r="AG113" s="569"/>
      <c r="AH113" s="569"/>
      <c r="AI113" s="569"/>
      <c r="AJ113" s="569"/>
      <c r="AK113" s="569"/>
      <c r="AL113" s="569"/>
      <c r="AM113" s="432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3" t="str">
        <f t="shared" ca="1" si="12"/>
        <v/>
      </c>
      <c r="D114" s="146" t="str">
        <f ca="1">ORÇAMENTO!O114</f>
        <v>-</v>
      </c>
      <c r="E114" s="206" t="str">
        <f t="shared" ca="1" si="13"/>
        <v>(abra o arquivo 'Referência 05-2023.xls)</v>
      </c>
      <c r="F114" s="207" t="str">
        <f t="shared" ca="1" si="14"/>
        <v>-</v>
      </c>
      <c r="G114" s="151">
        <f ca="1">IF(RegimeExecucao="Global","",ORÇAMENTO!T114)</f>
        <v>0</v>
      </c>
      <c r="H114" s="151">
        <f ca="1">IF(RegimeExecucao="Global","",ORÇAMENTO!W114)</f>
        <v>0</v>
      </c>
      <c r="I114" s="154">
        <f ca="1">ORÇAMENTO!X114</f>
        <v>0</v>
      </c>
      <c r="J114" s="427">
        <f t="shared" ca="1" si="15"/>
        <v>0</v>
      </c>
      <c r="K114" s="151">
        <f t="shared" ca="1" si="16"/>
        <v>0</v>
      </c>
      <c r="L114" s="428">
        <f t="shared" ca="1" si="17"/>
        <v>0</v>
      </c>
      <c r="M114" s="429">
        <f ca="1">IF($A114="S",VTOTALBM,IF($A114=0,0,ROUND(SomaAgrupBM,15-13*ORÇAMENTO!$AF$11)))</f>
        <v>0</v>
      </c>
      <c r="N114" s="430">
        <f t="shared" ca="1" si="18"/>
        <v>0</v>
      </c>
      <c r="O114" s="154">
        <f ca="1">IF($A114="S",VTOTALBM,IF($A114=0,0,ROUND(SomaAgrupBM,15-13*ORÇAMENTO!$AF$11)))</f>
        <v>0</v>
      </c>
      <c r="Q114" s="431"/>
      <c r="R114" s="432"/>
      <c r="T114" s="146" t="str">
        <f t="shared" ca="1" si="19"/>
        <v/>
      </c>
      <c r="U114" s="206" t="str">
        <f t="shared" ca="1" si="20"/>
        <v/>
      </c>
      <c r="V114" s="207" t="str">
        <f t="shared" ca="1" si="21"/>
        <v/>
      </c>
      <c r="W114" s="595">
        <f ca="1">IF($Y114&gt;0,CHOOSE(MATCH(RegimeExecucao,{"Unitário","Global"},0),IF($A114="S",$Y114/$X114,""),($Y114/$X114)*100),0)</f>
        <v>0</v>
      </c>
      <c r="X114" s="433" t="str">
        <f ca="1">IF($Y114&gt;0,CHOOSE(MATCH(RegimeExecucao,{"Unitário","Global"},0),IF($A114="S",ROUND($H114,ORÇAMENTO!$AF$10),""),ROUND($I114,ORÇAMENTO!$AF$11)),"")</f>
        <v/>
      </c>
      <c r="Y114" s="433">
        <f t="shared" ca="1" si="22"/>
        <v>0</v>
      </c>
      <c r="Z114" s="434"/>
      <c r="AB114" s="431"/>
      <c r="AC114" s="569"/>
      <c r="AD114" s="569"/>
      <c r="AE114" s="569"/>
      <c r="AF114" s="569"/>
      <c r="AG114" s="569"/>
      <c r="AH114" s="569"/>
      <c r="AI114" s="569"/>
      <c r="AJ114" s="569"/>
      <c r="AK114" s="569"/>
      <c r="AL114" s="569"/>
      <c r="AM114" s="432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3" t="str">
        <f t="shared" ca="1" si="12"/>
        <v/>
      </c>
      <c r="D115" s="146" t="str">
        <f ca="1">ORÇAMENTO!O115</f>
        <v>-</v>
      </c>
      <c r="E115" s="206" t="str">
        <f t="shared" ca="1" si="13"/>
        <v>(abra o arquivo 'Referência 05-2023.xls)</v>
      </c>
      <c r="F115" s="207" t="str">
        <f t="shared" ca="1" si="14"/>
        <v>-</v>
      </c>
      <c r="G115" s="151">
        <f ca="1">IF(RegimeExecucao="Global","",ORÇAMENTO!T115)</f>
        <v>0</v>
      </c>
      <c r="H115" s="151">
        <f ca="1">IF(RegimeExecucao="Global","",ORÇAMENTO!W115)</f>
        <v>0</v>
      </c>
      <c r="I115" s="154">
        <f ca="1">ORÇAMENTO!X115</f>
        <v>0</v>
      </c>
      <c r="J115" s="427">
        <f t="shared" ca="1" si="15"/>
        <v>0</v>
      </c>
      <c r="K115" s="151">
        <f t="shared" ca="1" si="16"/>
        <v>0</v>
      </c>
      <c r="L115" s="428">
        <f t="shared" ca="1" si="17"/>
        <v>0</v>
      </c>
      <c r="M115" s="429">
        <f ca="1">IF($A115="S",VTOTALBM,IF($A115=0,0,ROUND(SomaAgrupBM,15-13*ORÇAMENTO!$AF$11)))</f>
        <v>0</v>
      </c>
      <c r="N115" s="430">
        <f t="shared" ca="1" si="18"/>
        <v>0</v>
      </c>
      <c r="O115" s="154">
        <f ca="1">IF($A115="S",VTOTALBM,IF($A115=0,0,ROUND(SomaAgrupBM,15-13*ORÇAMENTO!$AF$11)))</f>
        <v>0</v>
      </c>
      <c r="Q115" s="431"/>
      <c r="R115" s="432"/>
      <c r="T115" s="146" t="str">
        <f t="shared" ca="1" si="19"/>
        <v/>
      </c>
      <c r="U115" s="206" t="str">
        <f t="shared" ca="1" si="20"/>
        <v/>
      </c>
      <c r="V115" s="207" t="str">
        <f t="shared" ca="1" si="21"/>
        <v/>
      </c>
      <c r="W115" s="595">
        <f ca="1">IF($Y115&gt;0,CHOOSE(MATCH(RegimeExecucao,{"Unitário","Global"},0),IF($A115="S",$Y115/$X115,""),($Y115/$X115)*100),0)</f>
        <v>0</v>
      </c>
      <c r="X115" s="433" t="str">
        <f ca="1">IF($Y115&gt;0,CHOOSE(MATCH(RegimeExecucao,{"Unitário","Global"},0),IF($A115="S",ROUND($H115,ORÇAMENTO!$AF$10),""),ROUND($I115,ORÇAMENTO!$AF$11)),"")</f>
        <v/>
      </c>
      <c r="Y115" s="433">
        <f t="shared" ca="1" si="22"/>
        <v>0</v>
      </c>
      <c r="Z115" s="434"/>
      <c r="AB115" s="431"/>
      <c r="AC115" s="569"/>
      <c r="AD115" s="569"/>
      <c r="AE115" s="569"/>
      <c r="AF115" s="569"/>
      <c r="AG115" s="569"/>
      <c r="AH115" s="569"/>
      <c r="AI115" s="569"/>
      <c r="AJ115" s="569"/>
      <c r="AK115" s="569"/>
      <c r="AL115" s="569"/>
      <c r="AM115" s="432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3" t="str">
        <f t="shared" ca="1" si="12"/>
        <v/>
      </c>
      <c r="D116" s="146" t="str">
        <f ca="1">ORÇAMENTO!O116</f>
        <v>-</v>
      </c>
      <c r="E116" s="206" t="str">
        <f t="shared" ca="1" si="13"/>
        <v>(abra o arquivo 'Referência 05-2023.xls)</v>
      </c>
      <c r="F116" s="207" t="str">
        <f t="shared" ca="1" si="14"/>
        <v>-</v>
      </c>
      <c r="G116" s="151">
        <f ca="1">IF(RegimeExecucao="Global","",ORÇAMENTO!T116)</f>
        <v>0</v>
      </c>
      <c r="H116" s="151">
        <f ca="1">IF(RegimeExecucao="Global","",ORÇAMENTO!W116)</f>
        <v>0</v>
      </c>
      <c r="I116" s="154">
        <f ca="1">ORÇAMENTO!X116</f>
        <v>0</v>
      </c>
      <c r="J116" s="427">
        <f t="shared" ca="1" si="15"/>
        <v>0</v>
      </c>
      <c r="K116" s="151">
        <f t="shared" ca="1" si="16"/>
        <v>0</v>
      </c>
      <c r="L116" s="428">
        <f t="shared" ca="1" si="17"/>
        <v>0</v>
      </c>
      <c r="M116" s="429">
        <f ca="1">IF($A116="S",VTOTALBM,IF($A116=0,0,ROUND(SomaAgrupBM,15-13*ORÇAMENTO!$AF$11)))</f>
        <v>0</v>
      </c>
      <c r="N116" s="430">
        <f t="shared" ca="1" si="18"/>
        <v>0</v>
      </c>
      <c r="O116" s="154">
        <f ca="1">IF($A116="S",VTOTALBM,IF($A116=0,0,ROUND(SomaAgrupBM,15-13*ORÇAMENTO!$AF$11)))</f>
        <v>0</v>
      </c>
      <c r="Q116" s="431"/>
      <c r="R116" s="432"/>
      <c r="T116" s="146" t="str">
        <f t="shared" ca="1" si="19"/>
        <v/>
      </c>
      <c r="U116" s="206" t="str">
        <f t="shared" ca="1" si="20"/>
        <v/>
      </c>
      <c r="V116" s="207" t="str">
        <f t="shared" ca="1" si="21"/>
        <v/>
      </c>
      <c r="W116" s="595">
        <f ca="1">IF($Y116&gt;0,CHOOSE(MATCH(RegimeExecucao,{"Unitário","Global"},0),IF($A116="S",$Y116/$X116,""),($Y116/$X116)*100),0)</f>
        <v>0</v>
      </c>
      <c r="X116" s="433" t="str">
        <f ca="1">IF($Y116&gt;0,CHOOSE(MATCH(RegimeExecucao,{"Unitário","Global"},0),IF($A116="S",ROUND($H116,ORÇAMENTO!$AF$10),""),ROUND($I116,ORÇAMENTO!$AF$11)),"")</f>
        <v/>
      </c>
      <c r="Y116" s="433">
        <f t="shared" ca="1" si="22"/>
        <v>0</v>
      </c>
      <c r="Z116" s="434"/>
      <c r="AB116" s="431"/>
      <c r="AC116" s="569"/>
      <c r="AD116" s="569"/>
      <c r="AE116" s="569"/>
      <c r="AF116" s="569"/>
      <c r="AG116" s="569"/>
      <c r="AH116" s="569"/>
      <c r="AI116" s="569"/>
      <c r="AJ116" s="569"/>
      <c r="AK116" s="569"/>
      <c r="AL116" s="569"/>
      <c r="AM116" s="432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3" t="str">
        <f t="shared" ca="1" si="12"/>
        <v/>
      </c>
      <c r="D117" s="146" t="str">
        <f ca="1">ORÇAMENTO!O117</f>
        <v>-</v>
      </c>
      <c r="E117" s="206" t="str">
        <f t="shared" ca="1" si="13"/>
        <v>(abra o arquivo 'Referência 05-2023.xls)</v>
      </c>
      <c r="F117" s="207" t="str">
        <f t="shared" ca="1" si="14"/>
        <v>-</v>
      </c>
      <c r="G117" s="151">
        <f ca="1">IF(RegimeExecucao="Global","",ORÇAMENTO!T117)</f>
        <v>0</v>
      </c>
      <c r="H117" s="151">
        <f ca="1">IF(RegimeExecucao="Global","",ORÇAMENTO!W117)</f>
        <v>0</v>
      </c>
      <c r="I117" s="154">
        <f ca="1">ORÇAMENTO!X117</f>
        <v>0</v>
      </c>
      <c r="J117" s="427">
        <f t="shared" ca="1" si="15"/>
        <v>0</v>
      </c>
      <c r="K117" s="151">
        <f t="shared" ca="1" si="16"/>
        <v>0</v>
      </c>
      <c r="L117" s="428">
        <f t="shared" ca="1" si="17"/>
        <v>0</v>
      </c>
      <c r="M117" s="429">
        <f ca="1">IF($A117="S",VTOTALBM,IF($A117=0,0,ROUND(SomaAgrupBM,15-13*ORÇAMENTO!$AF$11)))</f>
        <v>0</v>
      </c>
      <c r="N117" s="430">
        <f t="shared" ca="1" si="18"/>
        <v>0</v>
      </c>
      <c r="O117" s="154">
        <f ca="1">IF($A117="S",VTOTALBM,IF($A117=0,0,ROUND(SomaAgrupBM,15-13*ORÇAMENTO!$AF$11)))</f>
        <v>0</v>
      </c>
      <c r="Q117" s="431"/>
      <c r="R117" s="432"/>
      <c r="T117" s="146" t="str">
        <f t="shared" ca="1" si="19"/>
        <v/>
      </c>
      <c r="U117" s="206" t="str">
        <f t="shared" ca="1" si="20"/>
        <v/>
      </c>
      <c r="V117" s="207" t="str">
        <f t="shared" ca="1" si="21"/>
        <v/>
      </c>
      <c r="W117" s="595">
        <f ca="1">IF($Y117&gt;0,CHOOSE(MATCH(RegimeExecucao,{"Unitário","Global"},0),IF($A117="S",$Y117/$X117,""),($Y117/$X117)*100),0)</f>
        <v>0</v>
      </c>
      <c r="X117" s="433" t="str">
        <f ca="1">IF($Y117&gt;0,CHOOSE(MATCH(RegimeExecucao,{"Unitário","Global"},0),IF($A117="S",ROUND($H117,ORÇAMENTO!$AF$10),""),ROUND($I117,ORÇAMENTO!$AF$11)),"")</f>
        <v/>
      </c>
      <c r="Y117" s="433">
        <f t="shared" ca="1" si="22"/>
        <v>0</v>
      </c>
      <c r="Z117" s="434"/>
      <c r="AB117" s="431"/>
      <c r="AC117" s="569"/>
      <c r="AD117" s="569"/>
      <c r="AE117" s="569"/>
      <c r="AF117" s="569"/>
      <c r="AG117" s="569"/>
      <c r="AH117" s="569"/>
      <c r="AI117" s="569"/>
      <c r="AJ117" s="569"/>
      <c r="AK117" s="569"/>
      <c r="AL117" s="569"/>
      <c r="AM117" s="432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3" t="str">
        <f t="shared" ca="1" si="12"/>
        <v/>
      </c>
      <c r="D118" s="146" t="str">
        <f ca="1">ORÇAMENTO!O118</f>
        <v>-</v>
      </c>
      <c r="E118" s="206" t="str">
        <f t="shared" ca="1" si="13"/>
        <v>(abra o arquivo 'Referência 05-2023.xls)</v>
      </c>
      <c r="F118" s="207" t="str">
        <f t="shared" ca="1" si="14"/>
        <v>-</v>
      </c>
      <c r="G118" s="151">
        <f ca="1">IF(RegimeExecucao="Global","",ORÇAMENTO!T118)</f>
        <v>0</v>
      </c>
      <c r="H118" s="151">
        <f ca="1">IF(RegimeExecucao="Global","",ORÇAMENTO!W118)</f>
        <v>0</v>
      </c>
      <c r="I118" s="154">
        <f ca="1">ORÇAMENTO!X118</f>
        <v>0</v>
      </c>
      <c r="J118" s="427">
        <f t="shared" ca="1" si="15"/>
        <v>0</v>
      </c>
      <c r="K118" s="151">
        <f t="shared" ca="1" si="16"/>
        <v>0</v>
      </c>
      <c r="L118" s="428">
        <f t="shared" ca="1" si="17"/>
        <v>0</v>
      </c>
      <c r="M118" s="429">
        <f ca="1">IF($A118="S",VTOTALBM,IF($A118=0,0,ROUND(SomaAgrupBM,15-13*ORÇAMENTO!$AF$11)))</f>
        <v>0</v>
      </c>
      <c r="N118" s="430">
        <f t="shared" ca="1" si="18"/>
        <v>0</v>
      </c>
      <c r="O118" s="154">
        <f ca="1">IF($A118="S",VTOTALBM,IF($A118=0,0,ROUND(SomaAgrupBM,15-13*ORÇAMENTO!$AF$11)))</f>
        <v>0</v>
      </c>
      <c r="Q118" s="431"/>
      <c r="R118" s="432"/>
      <c r="T118" s="146" t="str">
        <f t="shared" ca="1" si="19"/>
        <v/>
      </c>
      <c r="U118" s="206" t="str">
        <f t="shared" ca="1" si="20"/>
        <v/>
      </c>
      <c r="V118" s="207" t="str">
        <f t="shared" ca="1" si="21"/>
        <v/>
      </c>
      <c r="W118" s="595">
        <f ca="1">IF($Y118&gt;0,CHOOSE(MATCH(RegimeExecucao,{"Unitário","Global"},0),IF($A118="S",$Y118/$X118,""),($Y118/$X118)*100),0)</f>
        <v>0</v>
      </c>
      <c r="X118" s="433" t="str">
        <f ca="1">IF($Y118&gt;0,CHOOSE(MATCH(RegimeExecucao,{"Unitário","Global"},0),IF($A118="S",ROUND($H118,ORÇAMENTO!$AF$10),""),ROUND($I118,ORÇAMENTO!$AF$11)),"")</f>
        <v/>
      </c>
      <c r="Y118" s="433">
        <f t="shared" ca="1" si="22"/>
        <v>0</v>
      </c>
      <c r="Z118" s="434"/>
      <c r="AB118" s="431"/>
      <c r="AC118" s="569"/>
      <c r="AD118" s="569"/>
      <c r="AE118" s="569"/>
      <c r="AF118" s="569"/>
      <c r="AG118" s="569"/>
      <c r="AH118" s="569"/>
      <c r="AI118" s="569"/>
      <c r="AJ118" s="569"/>
      <c r="AK118" s="569"/>
      <c r="AL118" s="569"/>
      <c r="AM118" s="432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3" t="str">
        <f t="shared" ca="1" si="12"/>
        <v/>
      </c>
      <c r="D119" s="146" t="str">
        <f ca="1">ORÇAMENTO!O119</f>
        <v>-</v>
      </c>
      <c r="E119" s="206" t="str">
        <f t="shared" ca="1" si="13"/>
        <v>(abra o arquivo 'Referência 05-2023.xls)</v>
      </c>
      <c r="F119" s="207" t="str">
        <f t="shared" ca="1" si="14"/>
        <v>-</v>
      </c>
      <c r="G119" s="151">
        <f ca="1">IF(RegimeExecucao="Global","",ORÇAMENTO!T119)</f>
        <v>0</v>
      </c>
      <c r="H119" s="151">
        <f ca="1">IF(RegimeExecucao="Global","",ORÇAMENTO!W119)</f>
        <v>0</v>
      </c>
      <c r="I119" s="154">
        <f ca="1">ORÇAMENTO!X119</f>
        <v>0</v>
      </c>
      <c r="J119" s="427">
        <f t="shared" ca="1" si="15"/>
        <v>0</v>
      </c>
      <c r="K119" s="151">
        <f t="shared" ca="1" si="16"/>
        <v>0</v>
      </c>
      <c r="L119" s="428">
        <f t="shared" ca="1" si="17"/>
        <v>0</v>
      </c>
      <c r="M119" s="429">
        <f ca="1">IF($A119="S",VTOTALBM,IF($A119=0,0,ROUND(SomaAgrupBM,15-13*ORÇAMENTO!$AF$11)))</f>
        <v>0</v>
      </c>
      <c r="N119" s="430">
        <f t="shared" ca="1" si="18"/>
        <v>0</v>
      </c>
      <c r="O119" s="154">
        <f ca="1">IF($A119="S",VTOTALBM,IF($A119=0,0,ROUND(SomaAgrupBM,15-13*ORÇAMENTO!$AF$11)))</f>
        <v>0</v>
      </c>
      <c r="Q119" s="431"/>
      <c r="R119" s="432"/>
      <c r="T119" s="146" t="str">
        <f t="shared" ca="1" si="19"/>
        <v/>
      </c>
      <c r="U119" s="206" t="str">
        <f t="shared" ca="1" si="20"/>
        <v/>
      </c>
      <c r="V119" s="207" t="str">
        <f t="shared" ca="1" si="21"/>
        <v/>
      </c>
      <c r="W119" s="595">
        <f ca="1">IF($Y119&gt;0,CHOOSE(MATCH(RegimeExecucao,{"Unitário","Global"},0),IF($A119="S",$Y119/$X119,""),($Y119/$X119)*100),0)</f>
        <v>0</v>
      </c>
      <c r="X119" s="433" t="str">
        <f ca="1">IF($Y119&gt;0,CHOOSE(MATCH(RegimeExecucao,{"Unitário","Global"},0),IF($A119="S",ROUND($H119,ORÇAMENTO!$AF$10),""),ROUND($I119,ORÇAMENTO!$AF$11)),"")</f>
        <v/>
      </c>
      <c r="Y119" s="433">
        <f t="shared" ca="1" si="22"/>
        <v>0</v>
      </c>
      <c r="Z119" s="434"/>
      <c r="AB119" s="431"/>
      <c r="AC119" s="569"/>
      <c r="AD119" s="569"/>
      <c r="AE119" s="569"/>
      <c r="AF119" s="569"/>
      <c r="AG119" s="569"/>
      <c r="AH119" s="569"/>
      <c r="AI119" s="569"/>
      <c r="AJ119" s="569"/>
      <c r="AK119" s="569"/>
      <c r="AL119" s="569"/>
      <c r="AM119" s="432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3" t="str">
        <f t="shared" ca="1" si="12"/>
        <v/>
      </c>
      <c r="D120" s="146" t="str">
        <f ca="1">ORÇAMENTO!O120</f>
        <v>-</v>
      </c>
      <c r="E120" s="206" t="str">
        <f t="shared" ca="1" si="13"/>
        <v>(abra o arquivo 'Referência 05-2023.xls)</v>
      </c>
      <c r="F120" s="207" t="str">
        <f t="shared" ca="1" si="14"/>
        <v>-</v>
      </c>
      <c r="G120" s="151">
        <f ca="1">IF(RegimeExecucao="Global","",ORÇAMENTO!T120)</f>
        <v>0</v>
      </c>
      <c r="H120" s="151">
        <f ca="1">IF(RegimeExecucao="Global","",ORÇAMENTO!W120)</f>
        <v>0</v>
      </c>
      <c r="I120" s="154">
        <f ca="1">ORÇAMENTO!X120</f>
        <v>0</v>
      </c>
      <c r="J120" s="427">
        <f t="shared" ca="1" si="15"/>
        <v>0</v>
      </c>
      <c r="K120" s="151">
        <f t="shared" ca="1" si="16"/>
        <v>0</v>
      </c>
      <c r="L120" s="428">
        <f t="shared" ca="1" si="17"/>
        <v>0</v>
      </c>
      <c r="M120" s="429">
        <f ca="1">IF($A120="S",VTOTALBM,IF($A120=0,0,ROUND(SomaAgrupBM,15-13*ORÇAMENTO!$AF$11)))</f>
        <v>0</v>
      </c>
      <c r="N120" s="430">
        <f t="shared" ca="1" si="18"/>
        <v>0</v>
      </c>
      <c r="O120" s="154">
        <f ca="1">IF($A120="S",VTOTALBM,IF($A120=0,0,ROUND(SomaAgrupBM,15-13*ORÇAMENTO!$AF$11)))</f>
        <v>0</v>
      </c>
      <c r="Q120" s="431"/>
      <c r="R120" s="432"/>
      <c r="T120" s="146" t="str">
        <f t="shared" ca="1" si="19"/>
        <v/>
      </c>
      <c r="U120" s="206" t="str">
        <f t="shared" ca="1" si="20"/>
        <v/>
      </c>
      <c r="V120" s="207" t="str">
        <f t="shared" ca="1" si="21"/>
        <v/>
      </c>
      <c r="W120" s="595">
        <f ca="1">IF($Y120&gt;0,CHOOSE(MATCH(RegimeExecucao,{"Unitário","Global"},0),IF($A120="S",$Y120/$X120,""),($Y120/$X120)*100),0)</f>
        <v>0</v>
      </c>
      <c r="X120" s="433" t="str">
        <f ca="1">IF($Y120&gt;0,CHOOSE(MATCH(RegimeExecucao,{"Unitário","Global"},0),IF($A120="S",ROUND($H120,ORÇAMENTO!$AF$10),""),ROUND($I120,ORÇAMENTO!$AF$11)),"")</f>
        <v/>
      </c>
      <c r="Y120" s="433">
        <f t="shared" ca="1" si="22"/>
        <v>0</v>
      </c>
      <c r="Z120" s="434"/>
      <c r="AB120" s="431"/>
      <c r="AC120" s="569"/>
      <c r="AD120" s="569"/>
      <c r="AE120" s="569"/>
      <c r="AF120" s="569"/>
      <c r="AG120" s="569"/>
      <c r="AH120" s="569"/>
      <c r="AI120" s="569"/>
      <c r="AJ120" s="569"/>
      <c r="AK120" s="569"/>
      <c r="AL120" s="569"/>
      <c r="AM120" s="432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3" t="str">
        <f t="shared" ca="1" si="12"/>
        <v/>
      </c>
      <c r="D121" s="146" t="str">
        <f ca="1">ORÇAMENTO!O121</f>
        <v>-</v>
      </c>
      <c r="E121" s="206" t="str">
        <f t="shared" ca="1" si="13"/>
        <v>(abra o arquivo 'Referência 05-2023.xls)</v>
      </c>
      <c r="F121" s="207" t="str">
        <f t="shared" ca="1" si="14"/>
        <v>-</v>
      </c>
      <c r="G121" s="151">
        <f ca="1">IF(RegimeExecucao="Global","",ORÇAMENTO!T121)</f>
        <v>0</v>
      </c>
      <c r="H121" s="151">
        <f ca="1">IF(RegimeExecucao="Global","",ORÇAMENTO!W121)</f>
        <v>0</v>
      </c>
      <c r="I121" s="154">
        <f ca="1">ORÇAMENTO!X121</f>
        <v>0</v>
      </c>
      <c r="J121" s="427">
        <f t="shared" ca="1" si="15"/>
        <v>0</v>
      </c>
      <c r="K121" s="151">
        <f t="shared" ca="1" si="16"/>
        <v>0</v>
      </c>
      <c r="L121" s="428">
        <f t="shared" ca="1" si="17"/>
        <v>0</v>
      </c>
      <c r="M121" s="429">
        <f ca="1">IF($A121="S",VTOTALBM,IF($A121=0,0,ROUND(SomaAgrupBM,15-13*ORÇAMENTO!$AF$11)))</f>
        <v>0</v>
      </c>
      <c r="N121" s="430">
        <f t="shared" ca="1" si="18"/>
        <v>0</v>
      </c>
      <c r="O121" s="154">
        <f ca="1">IF($A121="S",VTOTALBM,IF($A121=0,0,ROUND(SomaAgrupBM,15-13*ORÇAMENTO!$AF$11)))</f>
        <v>0</v>
      </c>
      <c r="Q121" s="431"/>
      <c r="R121" s="432"/>
      <c r="T121" s="146" t="str">
        <f t="shared" ca="1" si="19"/>
        <v/>
      </c>
      <c r="U121" s="206" t="str">
        <f t="shared" ca="1" si="20"/>
        <v/>
      </c>
      <c r="V121" s="207" t="str">
        <f t="shared" ca="1" si="21"/>
        <v/>
      </c>
      <c r="W121" s="595">
        <f ca="1">IF($Y121&gt;0,CHOOSE(MATCH(RegimeExecucao,{"Unitário","Global"},0),IF($A121="S",$Y121/$X121,""),($Y121/$X121)*100),0)</f>
        <v>0</v>
      </c>
      <c r="X121" s="433" t="str">
        <f ca="1">IF($Y121&gt;0,CHOOSE(MATCH(RegimeExecucao,{"Unitário","Global"},0),IF($A121="S",ROUND($H121,ORÇAMENTO!$AF$10),""),ROUND($I121,ORÇAMENTO!$AF$11)),"")</f>
        <v/>
      </c>
      <c r="Y121" s="433">
        <f t="shared" ca="1" si="22"/>
        <v>0</v>
      </c>
      <c r="Z121" s="434"/>
      <c r="AB121" s="431"/>
      <c r="AC121" s="569"/>
      <c r="AD121" s="569"/>
      <c r="AE121" s="569"/>
      <c r="AF121" s="569"/>
      <c r="AG121" s="569"/>
      <c r="AH121" s="569"/>
      <c r="AI121" s="569"/>
      <c r="AJ121" s="569"/>
      <c r="AK121" s="569"/>
      <c r="AL121" s="569"/>
      <c r="AM121" s="432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3" t="str">
        <f t="shared" ca="1" si="12"/>
        <v/>
      </c>
      <c r="D122" s="146" t="str">
        <f ca="1">ORÇAMENTO!O122</f>
        <v>-</v>
      </c>
      <c r="E122" s="206" t="str">
        <f t="shared" ca="1" si="13"/>
        <v>(abra o arquivo 'Referência 05-2023.xls)</v>
      </c>
      <c r="F122" s="207" t="str">
        <f t="shared" ca="1" si="14"/>
        <v>-</v>
      </c>
      <c r="G122" s="151">
        <f ca="1">IF(RegimeExecucao="Global","",ORÇAMENTO!T122)</f>
        <v>0</v>
      </c>
      <c r="H122" s="151">
        <f ca="1">IF(RegimeExecucao="Global","",ORÇAMENTO!W122)</f>
        <v>0</v>
      </c>
      <c r="I122" s="154">
        <f ca="1">ORÇAMENTO!X122</f>
        <v>0</v>
      </c>
      <c r="J122" s="427">
        <f t="shared" ca="1" si="15"/>
        <v>0</v>
      </c>
      <c r="K122" s="151">
        <f t="shared" ca="1" si="16"/>
        <v>0</v>
      </c>
      <c r="L122" s="428">
        <f t="shared" ca="1" si="17"/>
        <v>0</v>
      </c>
      <c r="M122" s="429">
        <f ca="1">IF($A122="S",VTOTALBM,IF($A122=0,0,ROUND(SomaAgrupBM,15-13*ORÇAMENTO!$AF$11)))</f>
        <v>0</v>
      </c>
      <c r="N122" s="430">
        <f t="shared" ca="1" si="18"/>
        <v>0</v>
      </c>
      <c r="O122" s="154">
        <f ca="1">IF($A122="S",VTOTALBM,IF($A122=0,0,ROUND(SomaAgrupBM,15-13*ORÇAMENTO!$AF$11)))</f>
        <v>0</v>
      </c>
      <c r="Q122" s="431"/>
      <c r="R122" s="432"/>
      <c r="T122" s="146" t="str">
        <f t="shared" ca="1" si="19"/>
        <v/>
      </c>
      <c r="U122" s="206" t="str">
        <f t="shared" ca="1" si="20"/>
        <v/>
      </c>
      <c r="V122" s="207" t="str">
        <f t="shared" ca="1" si="21"/>
        <v/>
      </c>
      <c r="W122" s="595">
        <f ca="1">IF($Y122&gt;0,CHOOSE(MATCH(RegimeExecucao,{"Unitário","Global"},0),IF($A122="S",$Y122/$X122,""),($Y122/$X122)*100),0)</f>
        <v>0</v>
      </c>
      <c r="X122" s="433" t="str">
        <f ca="1">IF($Y122&gt;0,CHOOSE(MATCH(RegimeExecucao,{"Unitário","Global"},0),IF($A122="S",ROUND($H122,ORÇAMENTO!$AF$10),""),ROUND($I122,ORÇAMENTO!$AF$11)),"")</f>
        <v/>
      </c>
      <c r="Y122" s="433">
        <f t="shared" ca="1" si="22"/>
        <v>0</v>
      </c>
      <c r="Z122" s="434"/>
      <c r="AB122" s="431"/>
      <c r="AC122" s="569"/>
      <c r="AD122" s="569"/>
      <c r="AE122" s="569"/>
      <c r="AF122" s="569"/>
      <c r="AG122" s="569"/>
      <c r="AH122" s="569"/>
      <c r="AI122" s="569"/>
      <c r="AJ122" s="569"/>
      <c r="AK122" s="569"/>
      <c r="AL122" s="569"/>
      <c r="AM122" s="432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3" t="str">
        <f t="shared" ca="1" si="12"/>
        <v/>
      </c>
      <c r="D123" s="146" t="str">
        <f ca="1">ORÇAMENTO!O123</f>
        <v>-</v>
      </c>
      <c r="E123" s="206" t="str">
        <f t="shared" ca="1" si="13"/>
        <v>(abra o arquivo 'Referência 05-2023.xls)</v>
      </c>
      <c r="F123" s="207" t="str">
        <f t="shared" ca="1" si="14"/>
        <v>-</v>
      </c>
      <c r="G123" s="151">
        <f ca="1">IF(RegimeExecucao="Global","",ORÇAMENTO!T123)</f>
        <v>0</v>
      </c>
      <c r="H123" s="151">
        <f ca="1">IF(RegimeExecucao="Global","",ORÇAMENTO!W123)</f>
        <v>0</v>
      </c>
      <c r="I123" s="154">
        <f ca="1">ORÇAMENTO!X123</f>
        <v>0</v>
      </c>
      <c r="J123" s="427">
        <f t="shared" ca="1" si="15"/>
        <v>0</v>
      </c>
      <c r="K123" s="151">
        <f t="shared" ca="1" si="16"/>
        <v>0</v>
      </c>
      <c r="L123" s="428">
        <f t="shared" ca="1" si="17"/>
        <v>0</v>
      </c>
      <c r="M123" s="429">
        <f ca="1">IF($A123="S",VTOTALBM,IF($A123=0,0,ROUND(SomaAgrupBM,15-13*ORÇAMENTO!$AF$11)))</f>
        <v>0</v>
      </c>
      <c r="N123" s="430">
        <f t="shared" ca="1" si="18"/>
        <v>0</v>
      </c>
      <c r="O123" s="154">
        <f ca="1">IF($A123="S",VTOTALBM,IF($A123=0,0,ROUND(SomaAgrupBM,15-13*ORÇAMENTO!$AF$11)))</f>
        <v>0</v>
      </c>
      <c r="Q123" s="431"/>
      <c r="R123" s="432"/>
      <c r="T123" s="146" t="str">
        <f t="shared" ca="1" si="19"/>
        <v/>
      </c>
      <c r="U123" s="206" t="str">
        <f t="shared" ca="1" si="20"/>
        <v/>
      </c>
      <c r="V123" s="207" t="str">
        <f t="shared" ca="1" si="21"/>
        <v/>
      </c>
      <c r="W123" s="595">
        <f ca="1">IF($Y123&gt;0,CHOOSE(MATCH(RegimeExecucao,{"Unitário","Global"},0),IF($A123="S",$Y123/$X123,""),($Y123/$X123)*100),0)</f>
        <v>0</v>
      </c>
      <c r="X123" s="433" t="str">
        <f ca="1">IF($Y123&gt;0,CHOOSE(MATCH(RegimeExecucao,{"Unitário","Global"},0),IF($A123="S",ROUND($H123,ORÇAMENTO!$AF$10),""),ROUND($I123,ORÇAMENTO!$AF$11)),"")</f>
        <v/>
      </c>
      <c r="Y123" s="433">
        <f t="shared" ca="1" si="22"/>
        <v>0</v>
      </c>
      <c r="Z123" s="434"/>
      <c r="AB123" s="431"/>
      <c r="AC123" s="569"/>
      <c r="AD123" s="569"/>
      <c r="AE123" s="569"/>
      <c r="AF123" s="569"/>
      <c r="AG123" s="569"/>
      <c r="AH123" s="569"/>
      <c r="AI123" s="569"/>
      <c r="AJ123" s="569"/>
      <c r="AK123" s="569"/>
      <c r="AL123" s="569"/>
      <c r="AM123" s="432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3" t="str">
        <f t="shared" ca="1" si="12"/>
        <v/>
      </c>
      <c r="D124" s="146" t="str">
        <f ca="1">ORÇAMENTO!O124</f>
        <v>-</v>
      </c>
      <c r="E124" s="206" t="str">
        <f t="shared" ca="1" si="13"/>
        <v>(abra o arquivo 'Referência 05-2023.xls)</v>
      </c>
      <c r="F124" s="207" t="str">
        <f t="shared" ca="1" si="14"/>
        <v>-</v>
      </c>
      <c r="G124" s="151">
        <f ca="1">IF(RegimeExecucao="Global","",ORÇAMENTO!T124)</f>
        <v>0</v>
      </c>
      <c r="H124" s="151">
        <f ca="1">IF(RegimeExecucao="Global","",ORÇAMENTO!W124)</f>
        <v>0</v>
      </c>
      <c r="I124" s="154">
        <f ca="1">ORÇAMENTO!X124</f>
        <v>0</v>
      </c>
      <c r="J124" s="427">
        <f t="shared" ca="1" si="15"/>
        <v>0</v>
      </c>
      <c r="K124" s="151">
        <f t="shared" ca="1" si="16"/>
        <v>0</v>
      </c>
      <c r="L124" s="428">
        <f t="shared" ca="1" si="17"/>
        <v>0</v>
      </c>
      <c r="M124" s="429">
        <f ca="1">IF($A124="S",VTOTALBM,IF($A124=0,0,ROUND(SomaAgrupBM,15-13*ORÇAMENTO!$AF$11)))</f>
        <v>0</v>
      </c>
      <c r="N124" s="430">
        <f t="shared" ca="1" si="18"/>
        <v>0</v>
      </c>
      <c r="O124" s="154">
        <f ca="1">IF($A124="S",VTOTALBM,IF($A124=0,0,ROUND(SomaAgrupBM,15-13*ORÇAMENTO!$AF$11)))</f>
        <v>0</v>
      </c>
      <c r="Q124" s="431"/>
      <c r="R124" s="432"/>
      <c r="T124" s="146" t="str">
        <f t="shared" ca="1" si="19"/>
        <v/>
      </c>
      <c r="U124" s="206" t="str">
        <f t="shared" ca="1" si="20"/>
        <v/>
      </c>
      <c r="V124" s="207" t="str">
        <f t="shared" ca="1" si="21"/>
        <v/>
      </c>
      <c r="W124" s="595">
        <f ca="1">IF($Y124&gt;0,CHOOSE(MATCH(RegimeExecucao,{"Unitário","Global"},0),IF($A124="S",$Y124/$X124,""),($Y124/$X124)*100),0)</f>
        <v>0</v>
      </c>
      <c r="X124" s="433" t="str">
        <f ca="1">IF($Y124&gt;0,CHOOSE(MATCH(RegimeExecucao,{"Unitário","Global"},0),IF($A124="S",ROUND($H124,ORÇAMENTO!$AF$10),""),ROUND($I124,ORÇAMENTO!$AF$11)),"")</f>
        <v/>
      </c>
      <c r="Y124" s="433">
        <f t="shared" ca="1" si="22"/>
        <v>0</v>
      </c>
      <c r="Z124" s="434"/>
      <c r="AB124" s="431"/>
      <c r="AC124" s="569"/>
      <c r="AD124" s="569"/>
      <c r="AE124" s="569"/>
      <c r="AF124" s="569"/>
      <c r="AG124" s="569"/>
      <c r="AH124" s="569"/>
      <c r="AI124" s="569"/>
      <c r="AJ124" s="569"/>
      <c r="AK124" s="569"/>
      <c r="AL124" s="569"/>
      <c r="AM124" s="432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3" t="str">
        <f t="shared" ca="1" si="12"/>
        <v/>
      </c>
      <c r="D125" s="146" t="str">
        <f ca="1">ORÇAMENTO!O125</f>
        <v>-</v>
      </c>
      <c r="E125" s="206" t="str">
        <f t="shared" ca="1" si="13"/>
        <v>(abra o arquivo 'Referência 05-2023.xls)</v>
      </c>
      <c r="F125" s="207" t="str">
        <f t="shared" ca="1" si="14"/>
        <v>-</v>
      </c>
      <c r="G125" s="151">
        <f ca="1">IF(RegimeExecucao="Global","",ORÇAMENTO!T125)</f>
        <v>0</v>
      </c>
      <c r="H125" s="151">
        <f ca="1">IF(RegimeExecucao="Global","",ORÇAMENTO!W125)</f>
        <v>0</v>
      </c>
      <c r="I125" s="154">
        <f ca="1">ORÇAMENTO!X125</f>
        <v>0</v>
      </c>
      <c r="J125" s="427">
        <f t="shared" ca="1" si="15"/>
        <v>0</v>
      </c>
      <c r="K125" s="151">
        <f t="shared" ca="1" si="16"/>
        <v>0</v>
      </c>
      <c r="L125" s="428">
        <f t="shared" ca="1" si="17"/>
        <v>0</v>
      </c>
      <c r="M125" s="429">
        <f ca="1">IF($A125="S",VTOTALBM,IF($A125=0,0,ROUND(SomaAgrupBM,15-13*ORÇAMENTO!$AF$11)))</f>
        <v>0</v>
      </c>
      <c r="N125" s="430">
        <f t="shared" ca="1" si="18"/>
        <v>0</v>
      </c>
      <c r="O125" s="154">
        <f ca="1">IF($A125="S",VTOTALBM,IF($A125=0,0,ROUND(SomaAgrupBM,15-13*ORÇAMENTO!$AF$11)))</f>
        <v>0</v>
      </c>
      <c r="Q125" s="431"/>
      <c r="R125" s="432"/>
      <c r="T125" s="146" t="str">
        <f t="shared" ca="1" si="19"/>
        <v/>
      </c>
      <c r="U125" s="206" t="str">
        <f t="shared" ca="1" si="20"/>
        <v/>
      </c>
      <c r="V125" s="207" t="str">
        <f t="shared" ca="1" si="21"/>
        <v/>
      </c>
      <c r="W125" s="595">
        <f ca="1">IF($Y125&gt;0,CHOOSE(MATCH(RegimeExecucao,{"Unitário","Global"},0),IF($A125="S",$Y125/$X125,""),($Y125/$X125)*100),0)</f>
        <v>0</v>
      </c>
      <c r="X125" s="433" t="str">
        <f ca="1">IF($Y125&gt;0,CHOOSE(MATCH(RegimeExecucao,{"Unitário","Global"},0),IF($A125="S",ROUND($H125,ORÇAMENTO!$AF$10),""),ROUND($I125,ORÇAMENTO!$AF$11)),"")</f>
        <v/>
      </c>
      <c r="Y125" s="433">
        <f t="shared" ca="1" si="22"/>
        <v>0</v>
      </c>
      <c r="Z125" s="434"/>
      <c r="AB125" s="431"/>
      <c r="AC125" s="569"/>
      <c r="AD125" s="569"/>
      <c r="AE125" s="569"/>
      <c r="AF125" s="569"/>
      <c r="AG125" s="569"/>
      <c r="AH125" s="569"/>
      <c r="AI125" s="569"/>
      <c r="AJ125" s="569"/>
      <c r="AK125" s="569"/>
      <c r="AL125" s="569"/>
      <c r="AM125" s="432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3" t="str">
        <f t="shared" ca="1" si="12"/>
        <v/>
      </c>
      <c r="D126" s="146" t="str">
        <f ca="1">ORÇAMENTO!O126</f>
        <v>-</v>
      </c>
      <c r="E126" s="206" t="str">
        <f t="shared" ca="1" si="13"/>
        <v>(abra o arquivo 'Referência 05-2023.xls)</v>
      </c>
      <c r="F126" s="207" t="str">
        <f t="shared" ca="1" si="14"/>
        <v>-</v>
      </c>
      <c r="G126" s="151">
        <f ca="1">IF(RegimeExecucao="Global","",ORÇAMENTO!T126)</f>
        <v>0</v>
      </c>
      <c r="H126" s="151">
        <f ca="1">IF(RegimeExecucao="Global","",ORÇAMENTO!W126)</f>
        <v>0</v>
      </c>
      <c r="I126" s="154">
        <f ca="1">ORÇAMENTO!X126</f>
        <v>0</v>
      </c>
      <c r="J126" s="427">
        <f t="shared" ca="1" si="15"/>
        <v>0</v>
      </c>
      <c r="K126" s="151">
        <f t="shared" ca="1" si="16"/>
        <v>0</v>
      </c>
      <c r="L126" s="428">
        <f t="shared" ca="1" si="17"/>
        <v>0</v>
      </c>
      <c r="M126" s="429">
        <f ca="1">IF($A126="S",VTOTALBM,IF($A126=0,0,ROUND(SomaAgrupBM,15-13*ORÇAMENTO!$AF$11)))</f>
        <v>0</v>
      </c>
      <c r="N126" s="430">
        <f t="shared" ca="1" si="18"/>
        <v>0</v>
      </c>
      <c r="O126" s="154">
        <f ca="1">IF($A126="S",VTOTALBM,IF($A126=0,0,ROUND(SomaAgrupBM,15-13*ORÇAMENTO!$AF$11)))</f>
        <v>0</v>
      </c>
      <c r="Q126" s="431"/>
      <c r="R126" s="432"/>
      <c r="T126" s="146" t="str">
        <f t="shared" ca="1" si="19"/>
        <v/>
      </c>
      <c r="U126" s="206" t="str">
        <f t="shared" ca="1" si="20"/>
        <v/>
      </c>
      <c r="V126" s="207" t="str">
        <f t="shared" ca="1" si="21"/>
        <v/>
      </c>
      <c r="W126" s="595">
        <f ca="1">IF($Y126&gt;0,CHOOSE(MATCH(RegimeExecucao,{"Unitário","Global"},0),IF($A126="S",$Y126/$X126,""),($Y126/$X126)*100),0)</f>
        <v>0</v>
      </c>
      <c r="X126" s="433" t="str">
        <f ca="1">IF($Y126&gt;0,CHOOSE(MATCH(RegimeExecucao,{"Unitário","Global"},0),IF($A126="S",ROUND($H126,ORÇAMENTO!$AF$10),""),ROUND($I126,ORÇAMENTO!$AF$11)),"")</f>
        <v/>
      </c>
      <c r="Y126" s="433">
        <f t="shared" ca="1" si="22"/>
        <v>0</v>
      </c>
      <c r="Z126" s="434"/>
      <c r="AB126" s="431"/>
      <c r="AC126" s="569"/>
      <c r="AD126" s="569"/>
      <c r="AE126" s="569"/>
      <c r="AF126" s="569"/>
      <c r="AG126" s="569"/>
      <c r="AH126" s="569"/>
      <c r="AI126" s="569"/>
      <c r="AJ126" s="569"/>
      <c r="AK126" s="569"/>
      <c r="AL126" s="569"/>
      <c r="AM126" s="432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3" t="str">
        <f t="shared" ca="1" si="12"/>
        <v/>
      </c>
      <c r="D127" s="146" t="str">
        <f ca="1">ORÇAMENTO!O127</f>
        <v>-</v>
      </c>
      <c r="E127" s="206" t="str">
        <f t="shared" ca="1" si="13"/>
        <v>(abra o arquivo 'Referência 05-2023.xls)</v>
      </c>
      <c r="F127" s="207" t="str">
        <f t="shared" ca="1" si="14"/>
        <v>-</v>
      </c>
      <c r="G127" s="151">
        <f ca="1">IF(RegimeExecucao="Global","",ORÇAMENTO!T127)</f>
        <v>0</v>
      </c>
      <c r="H127" s="151">
        <f ca="1">IF(RegimeExecucao="Global","",ORÇAMENTO!W127)</f>
        <v>0</v>
      </c>
      <c r="I127" s="154">
        <f ca="1">ORÇAMENTO!X127</f>
        <v>0</v>
      </c>
      <c r="J127" s="427">
        <f t="shared" ca="1" si="15"/>
        <v>0</v>
      </c>
      <c r="K127" s="151">
        <f t="shared" ca="1" si="16"/>
        <v>0</v>
      </c>
      <c r="L127" s="428">
        <f t="shared" ca="1" si="17"/>
        <v>0</v>
      </c>
      <c r="M127" s="429">
        <f ca="1">IF($A127="S",VTOTALBM,IF($A127=0,0,ROUND(SomaAgrupBM,15-13*ORÇAMENTO!$AF$11)))</f>
        <v>0</v>
      </c>
      <c r="N127" s="430">
        <f t="shared" ca="1" si="18"/>
        <v>0</v>
      </c>
      <c r="O127" s="154">
        <f ca="1">IF($A127="S",VTOTALBM,IF($A127=0,0,ROUND(SomaAgrupBM,15-13*ORÇAMENTO!$AF$11)))</f>
        <v>0</v>
      </c>
      <c r="Q127" s="431"/>
      <c r="R127" s="432"/>
      <c r="T127" s="146" t="str">
        <f t="shared" ca="1" si="19"/>
        <v/>
      </c>
      <c r="U127" s="206" t="str">
        <f t="shared" ca="1" si="20"/>
        <v/>
      </c>
      <c r="V127" s="207" t="str">
        <f t="shared" ca="1" si="21"/>
        <v/>
      </c>
      <c r="W127" s="595">
        <f ca="1">IF($Y127&gt;0,CHOOSE(MATCH(RegimeExecucao,{"Unitário","Global"},0),IF($A127="S",$Y127/$X127,""),($Y127/$X127)*100),0)</f>
        <v>0</v>
      </c>
      <c r="X127" s="433" t="str">
        <f ca="1">IF($Y127&gt;0,CHOOSE(MATCH(RegimeExecucao,{"Unitário","Global"},0),IF($A127="S",ROUND($H127,ORÇAMENTO!$AF$10),""),ROUND($I127,ORÇAMENTO!$AF$11)),"")</f>
        <v/>
      </c>
      <c r="Y127" s="433">
        <f t="shared" ca="1" si="22"/>
        <v>0</v>
      </c>
      <c r="Z127" s="434"/>
      <c r="AB127" s="431"/>
      <c r="AC127" s="569"/>
      <c r="AD127" s="569"/>
      <c r="AE127" s="569"/>
      <c r="AF127" s="569"/>
      <c r="AG127" s="569"/>
      <c r="AH127" s="569"/>
      <c r="AI127" s="569"/>
      <c r="AJ127" s="569"/>
      <c r="AK127" s="569"/>
      <c r="AL127" s="569"/>
      <c r="AM127" s="432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3" t="str">
        <f t="shared" ca="1" si="12"/>
        <v/>
      </c>
      <c r="D128" s="146" t="str">
        <f ca="1">ORÇAMENTO!O128</f>
        <v>-</v>
      </c>
      <c r="E128" s="206" t="str">
        <f t="shared" ca="1" si="13"/>
        <v>(abra o arquivo 'Referência 05-2023.xls)</v>
      </c>
      <c r="F128" s="207" t="str">
        <f t="shared" ca="1" si="14"/>
        <v>-</v>
      </c>
      <c r="G128" s="151">
        <f ca="1">IF(RegimeExecucao="Global","",ORÇAMENTO!T128)</f>
        <v>0</v>
      </c>
      <c r="H128" s="151">
        <f ca="1">IF(RegimeExecucao="Global","",ORÇAMENTO!W128)</f>
        <v>0</v>
      </c>
      <c r="I128" s="154">
        <f ca="1">ORÇAMENTO!X128</f>
        <v>0</v>
      </c>
      <c r="J128" s="427">
        <f t="shared" ca="1" si="15"/>
        <v>0</v>
      </c>
      <c r="K128" s="151">
        <f t="shared" ca="1" si="16"/>
        <v>0</v>
      </c>
      <c r="L128" s="428">
        <f t="shared" ca="1" si="17"/>
        <v>0</v>
      </c>
      <c r="M128" s="429">
        <f ca="1">IF($A128="S",VTOTALBM,IF($A128=0,0,ROUND(SomaAgrupBM,15-13*ORÇAMENTO!$AF$11)))</f>
        <v>0</v>
      </c>
      <c r="N128" s="430">
        <f t="shared" ca="1" si="18"/>
        <v>0</v>
      </c>
      <c r="O128" s="154">
        <f ca="1">IF($A128="S",VTOTALBM,IF($A128=0,0,ROUND(SomaAgrupBM,15-13*ORÇAMENTO!$AF$11)))</f>
        <v>0</v>
      </c>
      <c r="Q128" s="431"/>
      <c r="R128" s="432"/>
      <c r="T128" s="146" t="str">
        <f t="shared" ca="1" si="19"/>
        <v/>
      </c>
      <c r="U128" s="206" t="str">
        <f t="shared" ca="1" si="20"/>
        <v/>
      </c>
      <c r="V128" s="207" t="str">
        <f t="shared" ca="1" si="21"/>
        <v/>
      </c>
      <c r="W128" s="595">
        <f ca="1">IF($Y128&gt;0,CHOOSE(MATCH(RegimeExecucao,{"Unitário","Global"},0),IF($A128="S",$Y128/$X128,""),($Y128/$X128)*100),0)</f>
        <v>0</v>
      </c>
      <c r="X128" s="433" t="str">
        <f ca="1">IF($Y128&gt;0,CHOOSE(MATCH(RegimeExecucao,{"Unitário","Global"},0),IF($A128="S",ROUND($H128,ORÇAMENTO!$AF$10),""),ROUND($I128,ORÇAMENTO!$AF$11)),"")</f>
        <v/>
      </c>
      <c r="Y128" s="433">
        <f t="shared" ca="1" si="22"/>
        <v>0</v>
      </c>
      <c r="Z128" s="434"/>
      <c r="AB128" s="431"/>
      <c r="AC128" s="569"/>
      <c r="AD128" s="569"/>
      <c r="AE128" s="569"/>
      <c r="AF128" s="569"/>
      <c r="AG128" s="569"/>
      <c r="AH128" s="569"/>
      <c r="AI128" s="569"/>
      <c r="AJ128" s="569"/>
      <c r="AK128" s="569"/>
      <c r="AL128" s="569"/>
      <c r="AM128" s="432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3" t="str">
        <f t="shared" ca="1" si="12"/>
        <v/>
      </c>
      <c r="D129" s="146" t="str">
        <f ca="1">ORÇAMENTO!O129</f>
        <v>-</v>
      </c>
      <c r="E129" s="206" t="str">
        <f t="shared" ca="1" si="13"/>
        <v>(abra o arquivo 'Referência 05-2023.xls)</v>
      </c>
      <c r="F129" s="207" t="str">
        <f t="shared" ca="1" si="14"/>
        <v>-</v>
      </c>
      <c r="G129" s="151">
        <f ca="1">IF(RegimeExecucao="Global","",ORÇAMENTO!T129)</f>
        <v>0</v>
      </c>
      <c r="H129" s="151">
        <f ca="1">IF(RegimeExecucao="Global","",ORÇAMENTO!W129)</f>
        <v>0</v>
      </c>
      <c r="I129" s="154">
        <f ca="1">ORÇAMENTO!X129</f>
        <v>0</v>
      </c>
      <c r="J129" s="427">
        <f t="shared" ca="1" si="15"/>
        <v>0</v>
      </c>
      <c r="K129" s="151">
        <f t="shared" ca="1" si="16"/>
        <v>0</v>
      </c>
      <c r="L129" s="428">
        <f t="shared" ca="1" si="17"/>
        <v>0</v>
      </c>
      <c r="M129" s="429">
        <f ca="1">IF($A129="S",VTOTALBM,IF($A129=0,0,ROUND(SomaAgrupBM,15-13*ORÇAMENTO!$AF$11)))</f>
        <v>0</v>
      </c>
      <c r="N129" s="430">
        <f t="shared" ca="1" si="18"/>
        <v>0</v>
      </c>
      <c r="O129" s="154">
        <f ca="1">IF($A129="S",VTOTALBM,IF($A129=0,0,ROUND(SomaAgrupBM,15-13*ORÇAMENTO!$AF$11)))</f>
        <v>0</v>
      </c>
      <c r="Q129" s="431"/>
      <c r="R129" s="432"/>
      <c r="T129" s="146" t="str">
        <f t="shared" ca="1" si="19"/>
        <v/>
      </c>
      <c r="U129" s="206" t="str">
        <f t="shared" ca="1" si="20"/>
        <v/>
      </c>
      <c r="V129" s="207" t="str">
        <f t="shared" ca="1" si="21"/>
        <v/>
      </c>
      <c r="W129" s="595">
        <f ca="1">IF($Y129&gt;0,CHOOSE(MATCH(RegimeExecucao,{"Unitário","Global"},0),IF($A129="S",$Y129/$X129,""),($Y129/$X129)*100),0)</f>
        <v>0</v>
      </c>
      <c r="X129" s="433" t="str">
        <f ca="1">IF($Y129&gt;0,CHOOSE(MATCH(RegimeExecucao,{"Unitário","Global"},0),IF($A129="S",ROUND($H129,ORÇAMENTO!$AF$10),""),ROUND($I129,ORÇAMENTO!$AF$11)),"")</f>
        <v/>
      </c>
      <c r="Y129" s="433">
        <f t="shared" ca="1" si="22"/>
        <v>0</v>
      </c>
      <c r="Z129" s="434"/>
      <c r="AB129" s="431"/>
      <c r="AC129" s="569"/>
      <c r="AD129" s="569"/>
      <c r="AE129" s="569"/>
      <c r="AF129" s="569"/>
      <c r="AG129" s="569"/>
      <c r="AH129" s="569"/>
      <c r="AI129" s="569"/>
      <c r="AJ129" s="569"/>
      <c r="AK129" s="569"/>
      <c r="AL129" s="569"/>
      <c r="AM129" s="432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3" t="str">
        <f t="shared" ca="1" si="12"/>
        <v/>
      </c>
      <c r="D130" s="146" t="str">
        <f ca="1">ORÇAMENTO!O130</f>
        <v>-</v>
      </c>
      <c r="E130" s="206" t="str">
        <f t="shared" ca="1" si="13"/>
        <v>(abra o arquivo 'Referência 05-2023.xls)</v>
      </c>
      <c r="F130" s="207" t="str">
        <f t="shared" ca="1" si="14"/>
        <v>-</v>
      </c>
      <c r="G130" s="151">
        <f ca="1">IF(RegimeExecucao="Global","",ORÇAMENTO!T130)</f>
        <v>0</v>
      </c>
      <c r="H130" s="151">
        <f ca="1">IF(RegimeExecucao="Global","",ORÇAMENTO!W130)</f>
        <v>0</v>
      </c>
      <c r="I130" s="154">
        <f ca="1">ORÇAMENTO!X130</f>
        <v>0</v>
      </c>
      <c r="J130" s="427">
        <f t="shared" ca="1" si="15"/>
        <v>0</v>
      </c>
      <c r="K130" s="151">
        <f t="shared" ca="1" si="16"/>
        <v>0</v>
      </c>
      <c r="L130" s="428">
        <f t="shared" ca="1" si="17"/>
        <v>0</v>
      </c>
      <c r="M130" s="429">
        <f ca="1">IF($A130="S",VTOTALBM,IF($A130=0,0,ROUND(SomaAgrupBM,15-13*ORÇAMENTO!$AF$11)))</f>
        <v>0</v>
      </c>
      <c r="N130" s="430">
        <f t="shared" ca="1" si="18"/>
        <v>0</v>
      </c>
      <c r="O130" s="154">
        <f ca="1">IF($A130="S",VTOTALBM,IF($A130=0,0,ROUND(SomaAgrupBM,15-13*ORÇAMENTO!$AF$11)))</f>
        <v>0</v>
      </c>
      <c r="Q130" s="431"/>
      <c r="R130" s="432"/>
      <c r="T130" s="146" t="str">
        <f t="shared" ca="1" si="19"/>
        <v/>
      </c>
      <c r="U130" s="206" t="str">
        <f t="shared" ca="1" si="20"/>
        <v/>
      </c>
      <c r="V130" s="207" t="str">
        <f t="shared" ca="1" si="21"/>
        <v/>
      </c>
      <c r="W130" s="595">
        <f ca="1">IF($Y130&gt;0,CHOOSE(MATCH(RegimeExecucao,{"Unitário","Global"},0),IF($A130="S",$Y130/$X130,""),($Y130/$X130)*100),0)</f>
        <v>0</v>
      </c>
      <c r="X130" s="433" t="str">
        <f ca="1">IF($Y130&gt;0,CHOOSE(MATCH(RegimeExecucao,{"Unitário","Global"},0),IF($A130="S",ROUND($H130,ORÇAMENTO!$AF$10),""),ROUND($I130,ORÇAMENTO!$AF$11)),"")</f>
        <v/>
      </c>
      <c r="Y130" s="433">
        <f t="shared" ca="1" si="22"/>
        <v>0</v>
      </c>
      <c r="Z130" s="434"/>
      <c r="AB130" s="431"/>
      <c r="AC130" s="569"/>
      <c r="AD130" s="569"/>
      <c r="AE130" s="569"/>
      <c r="AF130" s="569"/>
      <c r="AG130" s="569"/>
      <c r="AH130" s="569"/>
      <c r="AI130" s="569"/>
      <c r="AJ130" s="569"/>
      <c r="AK130" s="569"/>
      <c r="AL130" s="569"/>
      <c r="AM130" s="432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3" t="str">
        <f t="shared" ca="1" si="12"/>
        <v/>
      </c>
      <c r="D131" s="146" t="str">
        <f ca="1">ORÇAMENTO!O131</f>
        <v>-</v>
      </c>
      <c r="E131" s="206" t="str">
        <f t="shared" ca="1" si="13"/>
        <v>(abra o arquivo 'Referência 05-2023.xls)</v>
      </c>
      <c r="F131" s="207" t="str">
        <f t="shared" ca="1" si="14"/>
        <v>-</v>
      </c>
      <c r="G131" s="151">
        <f ca="1">IF(RegimeExecucao="Global","",ORÇAMENTO!T131)</f>
        <v>0</v>
      </c>
      <c r="H131" s="151">
        <f ca="1">IF(RegimeExecucao="Global","",ORÇAMENTO!W131)</f>
        <v>0</v>
      </c>
      <c r="I131" s="154">
        <f ca="1">ORÇAMENTO!X131</f>
        <v>0</v>
      </c>
      <c r="J131" s="427">
        <f t="shared" ca="1" si="15"/>
        <v>0</v>
      </c>
      <c r="K131" s="151">
        <f t="shared" ca="1" si="16"/>
        <v>0</v>
      </c>
      <c r="L131" s="428">
        <f t="shared" ca="1" si="17"/>
        <v>0</v>
      </c>
      <c r="M131" s="429">
        <f ca="1">IF($A131="S",VTOTALBM,IF($A131=0,0,ROUND(SomaAgrupBM,15-13*ORÇAMENTO!$AF$11)))</f>
        <v>0</v>
      </c>
      <c r="N131" s="430">
        <f t="shared" ca="1" si="18"/>
        <v>0</v>
      </c>
      <c r="O131" s="154">
        <f ca="1">IF($A131="S",VTOTALBM,IF($A131=0,0,ROUND(SomaAgrupBM,15-13*ORÇAMENTO!$AF$11)))</f>
        <v>0</v>
      </c>
      <c r="Q131" s="431"/>
      <c r="R131" s="432"/>
      <c r="T131" s="146" t="str">
        <f t="shared" ca="1" si="19"/>
        <v/>
      </c>
      <c r="U131" s="206" t="str">
        <f t="shared" ca="1" si="20"/>
        <v/>
      </c>
      <c r="V131" s="207" t="str">
        <f t="shared" ca="1" si="21"/>
        <v/>
      </c>
      <c r="W131" s="595">
        <f ca="1">IF($Y131&gt;0,CHOOSE(MATCH(RegimeExecucao,{"Unitário","Global"},0),IF($A131="S",$Y131/$X131,""),($Y131/$X131)*100),0)</f>
        <v>0</v>
      </c>
      <c r="X131" s="433" t="str">
        <f ca="1">IF($Y131&gt;0,CHOOSE(MATCH(RegimeExecucao,{"Unitário","Global"},0),IF($A131="S",ROUND($H131,ORÇAMENTO!$AF$10),""),ROUND($I131,ORÇAMENTO!$AF$11)),"")</f>
        <v/>
      </c>
      <c r="Y131" s="433">
        <f t="shared" ca="1" si="22"/>
        <v>0</v>
      </c>
      <c r="Z131" s="434"/>
      <c r="AB131" s="431"/>
      <c r="AC131" s="569"/>
      <c r="AD131" s="569"/>
      <c r="AE131" s="569"/>
      <c r="AF131" s="569"/>
      <c r="AG131" s="569"/>
      <c r="AH131" s="569"/>
      <c r="AI131" s="569"/>
      <c r="AJ131" s="569"/>
      <c r="AK131" s="569"/>
      <c r="AL131" s="569"/>
      <c r="AM131" s="432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3" t="str">
        <f t="shared" ca="1" si="12"/>
        <v/>
      </c>
      <c r="D132" s="146" t="str">
        <f ca="1">ORÇAMENTO!O132</f>
        <v>-</v>
      </c>
      <c r="E132" s="206" t="str">
        <f t="shared" ca="1" si="13"/>
        <v>(abra o arquivo 'Referência 05-2023.xls)</v>
      </c>
      <c r="F132" s="207" t="str">
        <f t="shared" ca="1" si="14"/>
        <v>-</v>
      </c>
      <c r="G132" s="151">
        <f ca="1">IF(RegimeExecucao="Global","",ORÇAMENTO!T132)</f>
        <v>0</v>
      </c>
      <c r="H132" s="151">
        <f ca="1">IF(RegimeExecucao="Global","",ORÇAMENTO!W132)</f>
        <v>0</v>
      </c>
      <c r="I132" s="154">
        <f ca="1">ORÇAMENTO!X132</f>
        <v>0</v>
      </c>
      <c r="J132" s="427">
        <f t="shared" ca="1" si="15"/>
        <v>0</v>
      </c>
      <c r="K132" s="151">
        <f t="shared" ca="1" si="16"/>
        <v>0</v>
      </c>
      <c r="L132" s="428">
        <f t="shared" ca="1" si="17"/>
        <v>0</v>
      </c>
      <c r="M132" s="429">
        <f ca="1">IF($A132="S",VTOTALBM,IF($A132=0,0,ROUND(SomaAgrupBM,15-13*ORÇAMENTO!$AF$11)))</f>
        <v>0</v>
      </c>
      <c r="N132" s="430">
        <f t="shared" ca="1" si="18"/>
        <v>0</v>
      </c>
      <c r="O132" s="154">
        <f ca="1">IF($A132="S",VTOTALBM,IF($A132=0,0,ROUND(SomaAgrupBM,15-13*ORÇAMENTO!$AF$11)))</f>
        <v>0</v>
      </c>
      <c r="Q132" s="431"/>
      <c r="R132" s="432"/>
      <c r="T132" s="146" t="str">
        <f t="shared" ca="1" si="19"/>
        <v/>
      </c>
      <c r="U132" s="206" t="str">
        <f t="shared" ca="1" si="20"/>
        <v/>
      </c>
      <c r="V132" s="207" t="str">
        <f t="shared" ca="1" si="21"/>
        <v/>
      </c>
      <c r="W132" s="595">
        <f ca="1">IF($Y132&gt;0,CHOOSE(MATCH(RegimeExecucao,{"Unitário","Global"},0),IF($A132="S",$Y132/$X132,""),($Y132/$X132)*100),0)</f>
        <v>0</v>
      </c>
      <c r="X132" s="433" t="str">
        <f ca="1">IF($Y132&gt;0,CHOOSE(MATCH(RegimeExecucao,{"Unitário","Global"},0),IF($A132="S",ROUND($H132,ORÇAMENTO!$AF$10),""),ROUND($I132,ORÇAMENTO!$AF$11)),"")</f>
        <v/>
      </c>
      <c r="Y132" s="433">
        <f t="shared" ca="1" si="22"/>
        <v>0</v>
      </c>
      <c r="Z132" s="434"/>
      <c r="AB132" s="431"/>
      <c r="AC132" s="569"/>
      <c r="AD132" s="569"/>
      <c r="AE132" s="569"/>
      <c r="AF132" s="569"/>
      <c r="AG132" s="569"/>
      <c r="AH132" s="569"/>
      <c r="AI132" s="569"/>
      <c r="AJ132" s="569"/>
      <c r="AK132" s="569"/>
      <c r="AL132" s="569"/>
      <c r="AM132" s="432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3" t="str">
        <f t="shared" ca="1" si="12"/>
        <v/>
      </c>
      <c r="D133" s="146" t="str">
        <f ca="1">ORÇAMENTO!O133</f>
        <v>-</v>
      </c>
      <c r="E133" s="206" t="str">
        <f t="shared" ca="1" si="13"/>
        <v>(abra o arquivo 'Referência 05-2023.xls)</v>
      </c>
      <c r="F133" s="207" t="str">
        <f t="shared" ca="1" si="14"/>
        <v>-</v>
      </c>
      <c r="G133" s="151">
        <f ca="1">IF(RegimeExecucao="Global","",ORÇAMENTO!T133)</f>
        <v>0</v>
      </c>
      <c r="H133" s="151">
        <f ca="1">IF(RegimeExecucao="Global","",ORÇAMENTO!W133)</f>
        <v>0</v>
      </c>
      <c r="I133" s="154">
        <f ca="1">ORÇAMENTO!X133</f>
        <v>0</v>
      </c>
      <c r="J133" s="427">
        <f t="shared" ca="1" si="15"/>
        <v>0</v>
      </c>
      <c r="K133" s="151">
        <f t="shared" ca="1" si="16"/>
        <v>0</v>
      </c>
      <c r="L133" s="428">
        <f t="shared" ca="1" si="17"/>
        <v>0</v>
      </c>
      <c r="M133" s="429">
        <f ca="1">IF($A133="S",VTOTALBM,IF($A133=0,0,ROUND(SomaAgrupBM,15-13*ORÇAMENTO!$AF$11)))</f>
        <v>0</v>
      </c>
      <c r="N133" s="430">
        <f t="shared" ca="1" si="18"/>
        <v>0</v>
      </c>
      <c r="O133" s="154">
        <f ca="1">IF($A133="S",VTOTALBM,IF($A133=0,0,ROUND(SomaAgrupBM,15-13*ORÇAMENTO!$AF$11)))</f>
        <v>0</v>
      </c>
      <c r="Q133" s="431"/>
      <c r="R133" s="432"/>
      <c r="T133" s="146" t="str">
        <f t="shared" ca="1" si="19"/>
        <v/>
      </c>
      <c r="U133" s="206" t="str">
        <f t="shared" ca="1" si="20"/>
        <v/>
      </c>
      <c r="V133" s="207" t="str">
        <f t="shared" ca="1" si="21"/>
        <v/>
      </c>
      <c r="W133" s="595">
        <f ca="1">IF($Y133&gt;0,CHOOSE(MATCH(RegimeExecucao,{"Unitário","Global"},0),IF($A133="S",$Y133/$X133,""),($Y133/$X133)*100),0)</f>
        <v>0</v>
      </c>
      <c r="X133" s="433" t="str">
        <f ca="1">IF($Y133&gt;0,CHOOSE(MATCH(RegimeExecucao,{"Unitário","Global"},0),IF($A133="S",ROUND($H133,ORÇAMENTO!$AF$10),""),ROUND($I133,ORÇAMENTO!$AF$11)),"")</f>
        <v/>
      </c>
      <c r="Y133" s="433">
        <f t="shared" ca="1" si="22"/>
        <v>0</v>
      </c>
      <c r="Z133" s="434"/>
      <c r="AB133" s="431"/>
      <c r="AC133" s="569"/>
      <c r="AD133" s="569"/>
      <c r="AE133" s="569"/>
      <c r="AF133" s="569"/>
      <c r="AG133" s="569"/>
      <c r="AH133" s="569"/>
      <c r="AI133" s="569"/>
      <c r="AJ133" s="569"/>
      <c r="AK133" s="569"/>
      <c r="AL133" s="569"/>
      <c r="AM133" s="432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3" t="str">
        <f t="shared" ca="1" si="12"/>
        <v/>
      </c>
      <c r="D134" s="146" t="str">
        <f ca="1">ORÇAMENTO!O134</f>
        <v>-</v>
      </c>
      <c r="E134" s="206" t="str">
        <f t="shared" ca="1" si="13"/>
        <v>(abra o arquivo 'Referência 05-2023.xls)</v>
      </c>
      <c r="F134" s="207" t="str">
        <f t="shared" ca="1" si="14"/>
        <v>-</v>
      </c>
      <c r="G134" s="151">
        <f ca="1">IF(RegimeExecucao="Global","",ORÇAMENTO!T134)</f>
        <v>0</v>
      </c>
      <c r="H134" s="151">
        <f ca="1">IF(RegimeExecucao="Global","",ORÇAMENTO!W134)</f>
        <v>0</v>
      </c>
      <c r="I134" s="154">
        <f ca="1">ORÇAMENTO!X134</f>
        <v>0</v>
      </c>
      <c r="J134" s="427">
        <f t="shared" ca="1" si="15"/>
        <v>0</v>
      </c>
      <c r="K134" s="151">
        <f t="shared" ca="1" si="16"/>
        <v>0</v>
      </c>
      <c r="L134" s="428">
        <f t="shared" ca="1" si="17"/>
        <v>0</v>
      </c>
      <c r="M134" s="429">
        <f ca="1">IF($A134="S",VTOTALBM,IF($A134=0,0,ROUND(SomaAgrupBM,15-13*ORÇAMENTO!$AF$11)))</f>
        <v>0</v>
      </c>
      <c r="N134" s="430">
        <f t="shared" ca="1" si="18"/>
        <v>0</v>
      </c>
      <c r="O134" s="154">
        <f ca="1">IF($A134="S",VTOTALBM,IF($A134=0,0,ROUND(SomaAgrupBM,15-13*ORÇAMENTO!$AF$11)))</f>
        <v>0</v>
      </c>
      <c r="Q134" s="431"/>
      <c r="R134" s="432"/>
      <c r="T134" s="146" t="str">
        <f t="shared" ca="1" si="19"/>
        <v/>
      </c>
      <c r="U134" s="206" t="str">
        <f t="shared" ca="1" si="20"/>
        <v/>
      </c>
      <c r="V134" s="207" t="str">
        <f t="shared" ca="1" si="21"/>
        <v/>
      </c>
      <c r="W134" s="595">
        <f ca="1">IF($Y134&gt;0,CHOOSE(MATCH(RegimeExecucao,{"Unitário","Global"},0),IF($A134="S",$Y134/$X134,""),($Y134/$X134)*100),0)</f>
        <v>0</v>
      </c>
      <c r="X134" s="433" t="str">
        <f ca="1">IF($Y134&gt;0,CHOOSE(MATCH(RegimeExecucao,{"Unitário","Global"},0),IF($A134="S",ROUND($H134,ORÇAMENTO!$AF$10),""),ROUND($I134,ORÇAMENTO!$AF$11)),"")</f>
        <v/>
      </c>
      <c r="Y134" s="433">
        <f t="shared" ca="1" si="22"/>
        <v>0</v>
      </c>
      <c r="Z134" s="434"/>
      <c r="AB134" s="431"/>
      <c r="AC134" s="569"/>
      <c r="AD134" s="569"/>
      <c r="AE134" s="569"/>
      <c r="AF134" s="569"/>
      <c r="AG134" s="569"/>
      <c r="AH134" s="569"/>
      <c r="AI134" s="569"/>
      <c r="AJ134" s="569"/>
      <c r="AK134" s="569"/>
      <c r="AL134" s="569"/>
      <c r="AM134" s="432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3" t="str">
        <f t="shared" ca="1" si="12"/>
        <v/>
      </c>
      <c r="D135" s="146" t="str">
        <f ca="1">ORÇAMENTO!O135</f>
        <v>-</v>
      </c>
      <c r="E135" s="206" t="str">
        <f t="shared" ca="1" si="13"/>
        <v>(abra o arquivo 'Referência 05-2023.xls)</v>
      </c>
      <c r="F135" s="207" t="str">
        <f t="shared" ca="1" si="14"/>
        <v>-</v>
      </c>
      <c r="G135" s="151">
        <f ca="1">IF(RegimeExecucao="Global","",ORÇAMENTO!T135)</f>
        <v>0</v>
      </c>
      <c r="H135" s="151">
        <f ca="1">IF(RegimeExecucao="Global","",ORÇAMENTO!W135)</f>
        <v>0</v>
      </c>
      <c r="I135" s="154">
        <f ca="1">ORÇAMENTO!X135</f>
        <v>0</v>
      </c>
      <c r="J135" s="427">
        <f t="shared" ca="1" si="15"/>
        <v>0</v>
      </c>
      <c r="K135" s="151">
        <f t="shared" ca="1" si="16"/>
        <v>0</v>
      </c>
      <c r="L135" s="428">
        <f t="shared" ca="1" si="17"/>
        <v>0</v>
      </c>
      <c r="M135" s="429">
        <f ca="1">IF($A135="S",VTOTALBM,IF($A135=0,0,ROUND(SomaAgrupBM,15-13*ORÇAMENTO!$AF$11)))</f>
        <v>0</v>
      </c>
      <c r="N135" s="430">
        <f t="shared" ca="1" si="18"/>
        <v>0</v>
      </c>
      <c r="O135" s="154">
        <f ca="1">IF($A135="S",VTOTALBM,IF($A135=0,0,ROUND(SomaAgrupBM,15-13*ORÇAMENTO!$AF$11)))</f>
        <v>0</v>
      </c>
      <c r="Q135" s="431"/>
      <c r="R135" s="432"/>
      <c r="T135" s="146" t="str">
        <f t="shared" ca="1" si="19"/>
        <v/>
      </c>
      <c r="U135" s="206" t="str">
        <f t="shared" ca="1" si="20"/>
        <v/>
      </c>
      <c r="V135" s="207" t="str">
        <f t="shared" ca="1" si="21"/>
        <v/>
      </c>
      <c r="W135" s="595">
        <f ca="1">IF($Y135&gt;0,CHOOSE(MATCH(RegimeExecucao,{"Unitário","Global"},0),IF($A135="S",$Y135/$X135,""),($Y135/$X135)*100),0)</f>
        <v>0</v>
      </c>
      <c r="X135" s="433" t="str">
        <f ca="1">IF($Y135&gt;0,CHOOSE(MATCH(RegimeExecucao,{"Unitário","Global"},0),IF($A135="S",ROUND($H135,ORÇAMENTO!$AF$10),""),ROUND($I135,ORÇAMENTO!$AF$11)),"")</f>
        <v/>
      </c>
      <c r="Y135" s="433">
        <f t="shared" ca="1" si="22"/>
        <v>0</v>
      </c>
      <c r="Z135" s="434"/>
      <c r="AB135" s="431"/>
      <c r="AC135" s="569"/>
      <c r="AD135" s="569"/>
      <c r="AE135" s="569"/>
      <c r="AF135" s="569"/>
      <c r="AG135" s="569"/>
      <c r="AH135" s="569"/>
      <c r="AI135" s="569"/>
      <c r="AJ135" s="569"/>
      <c r="AK135" s="569"/>
      <c r="AL135" s="569"/>
      <c r="AM135" s="432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3" t="str">
        <f t="shared" ca="1" si="12"/>
        <v/>
      </c>
      <c r="D136" s="146" t="str">
        <f ca="1">ORÇAMENTO!O136</f>
        <v>-</v>
      </c>
      <c r="E136" s="206" t="str">
        <f t="shared" ca="1" si="13"/>
        <v>(abra o arquivo 'Referência 05-2023.xls)</v>
      </c>
      <c r="F136" s="207" t="str">
        <f t="shared" ca="1" si="14"/>
        <v>-</v>
      </c>
      <c r="G136" s="151">
        <f ca="1">IF(RegimeExecucao="Global","",ORÇAMENTO!T136)</f>
        <v>0</v>
      </c>
      <c r="H136" s="151">
        <f ca="1">IF(RegimeExecucao="Global","",ORÇAMENTO!W136)</f>
        <v>0</v>
      </c>
      <c r="I136" s="154">
        <f ca="1">ORÇAMENTO!X136</f>
        <v>0</v>
      </c>
      <c r="J136" s="427">
        <f t="shared" ca="1" si="15"/>
        <v>0</v>
      </c>
      <c r="K136" s="151">
        <f t="shared" ca="1" si="16"/>
        <v>0</v>
      </c>
      <c r="L136" s="428">
        <f t="shared" ca="1" si="17"/>
        <v>0</v>
      </c>
      <c r="M136" s="429">
        <f ca="1">IF($A136="S",VTOTALBM,IF($A136=0,0,ROUND(SomaAgrupBM,15-13*ORÇAMENTO!$AF$11)))</f>
        <v>0</v>
      </c>
      <c r="N136" s="430">
        <f t="shared" ca="1" si="18"/>
        <v>0</v>
      </c>
      <c r="O136" s="154">
        <f ca="1">IF($A136="S",VTOTALBM,IF($A136=0,0,ROUND(SomaAgrupBM,15-13*ORÇAMENTO!$AF$11)))</f>
        <v>0</v>
      </c>
      <c r="Q136" s="431"/>
      <c r="R136" s="432"/>
      <c r="T136" s="146" t="str">
        <f t="shared" ca="1" si="19"/>
        <v/>
      </c>
      <c r="U136" s="206" t="str">
        <f t="shared" ca="1" si="20"/>
        <v/>
      </c>
      <c r="V136" s="207" t="str">
        <f t="shared" ca="1" si="21"/>
        <v/>
      </c>
      <c r="W136" s="595">
        <f ca="1">IF($Y136&gt;0,CHOOSE(MATCH(RegimeExecucao,{"Unitário","Global"},0),IF($A136="S",$Y136/$X136,""),($Y136/$X136)*100),0)</f>
        <v>0</v>
      </c>
      <c r="X136" s="433" t="str">
        <f ca="1">IF($Y136&gt;0,CHOOSE(MATCH(RegimeExecucao,{"Unitário","Global"},0),IF($A136="S",ROUND($H136,ORÇAMENTO!$AF$10),""),ROUND($I136,ORÇAMENTO!$AF$11)),"")</f>
        <v/>
      </c>
      <c r="Y136" s="433">
        <f t="shared" ca="1" si="22"/>
        <v>0</v>
      </c>
      <c r="Z136" s="434"/>
      <c r="AB136" s="431"/>
      <c r="AC136" s="569"/>
      <c r="AD136" s="569"/>
      <c r="AE136" s="569"/>
      <c r="AF136" s="569"/>
      <c r="AG136" s="569"/>
      <c r="AH136" s="569"/>
      <c r="AI136" s="569"/>
      <c r="AJ136" s="569"/>
      <c r="AK136" s="569"/>
      <c r="AL136" s="569"/>
      <c r="AM136" s="432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3" t="str">
        <f t="shared" ca="1" si="12"/>
        <v/>
      </c>
      <c r="D137" s="146" t="str">
        <f ca="1">ORÇAMENTO!O137</f>
        <v>-</v>
      </c>
      <c r="E137" s="206" t="str">
        <f t="shared" ca="1" si="13"/>
        <v>(abra o arquivo 'Referência 05-2023.xls)</v>
      </c>
      <c r="F137" s="207" t="str">
        <f t="shared" ca="1" si="14"/>
        <v>-</v>
      </c>
      <c r="G137" s="151">
        <f ca="1">IF(RegimeExecucao="Global","",ORÇAMENTO!T137)</f>
        <v>0</v>
      </c>
      <c r="H137" s="151">
        <f ca="1">IF(RegimeExecucao="Global","",ORÇAMENTO!W137)</f>
        <v>0</v>
      </c>
      <c r="I137" s="154">
        <f ca="1">ORÇAMENTO!X137</f>
        <v>0</v>
      </c>
      <c r="J137" s="427">
        <f t="shared" ca="1" si="15"/>
        <v>0</v>
      </c>
      <c r="K137" s="151">
        <f t="shared" ca="1" si="16"/>
        <v>0</v>
      </c>
      <c r="L137" s="428">
        <f t="shared" ca="1" si="17"/>
        <v>0</v>
      </c>
      <c r="M137" s="429">
        <f ca="1">IF($A137="S",VTOTALBM,IF($A137=0,0,ROUND(SomaAgrupBM,15-13*ORÇAMENTO!$AF$11)))</f>
        <v>0</v>
      </c>
      <c r="N137" s="430">
        <f t="shared" ca="1" si="18"/>
        <v>0</v>
      </c>
      <c r="O137" s="154">
        <f ca="1">IF($A137="S",VTOTALBM,IF($A137=0,0,ROUND(SomaAgrupBM,15-13*ORÇAMENTO!$AF$11)))</f>
        <v>0</v>
      </c>
      <c r="Q137" s="431"/>
      <c r="R137" s="432"/>
      <c r="T137" s="146" t="str">
        <f t="shared" ca="1" si="19"/>
        <v/>
      </c>
      <c r="U137" s="206" t="str">
        <f t="shared" ca="1" si="20"/>
        <v/>
      </c>
      <c r="V137" s="207" t="str">
        <f t="shared" ca="1" si="21"/>
        <v/>
      </c>
      <c r="W137" s="595">
        <f ca="1">IF($Y137&gt;0,CHOOSE(MATCH(RegimeExecucao,{"Unitário","Global"},0),IF($A137="S",$Y137/$X137,""),($Y137/$X137)*100),0)</f>
        <v>0</v>
      </c>
      <c r="X137" s="433" t="str">
        <f ca="1">IF($Y137&gt;0,CHOOSE(MATCH(RegimeExecucao,{"Unitário","Global"},0),IF($A137="S",ROUND($H137,ORÇAMENTO!$AF$10),""),ROUND($I137,ORÇAMENTO!$AF$11)),"")</f>
        <v/>
      </c>
      <c r="Y137" s="433">
        <f t="shared" ca="1" si="22"/>
        <v>0</v>
      </c>
      <c r="Z137" s="434"/>
      <c r="AB137" s="431"/>
      <c r="AC137" s="569"/>
      <c r="AD137" s="569"/>
      <c r="AE137" s="569"/>
      <c r="AF137" s="569"/>
      <c r="AG137" s="569"/>
      <c r="AH137" s="569"/>
      <c r="AI137" s="569"/>
      <c r="AJ137" s="569"/>
      <c r="AK137" s="569"/>
      <c r="AL137" s="569"/>
      <c r="AM137" s="432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3" t="str">
        <f t="shared" ca="1" si="12"/>
        <v/>
      </c>
      <c r="D138" s="146" t="str">
        <f ca="1">ORÇAMENTO!O138</f>
        <v>-</v>
      </c>
      <c r="E138" s="206" t="str">
        <f t="shared" ca="1" si="13"/>
        <v>(abra o arquivo 'Referência 05-2023.xls)</v>
      </c>
      <c r="F138" s="207" t="str">
        <f t="shared" ca="1" si="14"/>
        <v>-</v>
      </c>
      <c r="G138" s="151">
        <f ca="1">IF(RegimeExecucao="Global","",ORÇAMENTO!T138)</f>
        <v>0</v>
      </c>
      <c r="H138" s="151">
        <f ca="1">IF(RegimeExecucao="Global","",ORÇAMENTO!W138)</f>
        <v>0</v>
      </c>
      <c r="I138" s="154">
        <f ca="1">ORÇAMENTO!X138</f>
        <v>0</v>
      </c>
      <c r="J138" s="427">
        <f t="shared" ca="1" si="15"/>
        <v>0</v>
      </c>
      <c r="K138" s="151">
        <f t="shared" ca="1" si="16"/>
        <v>0</v>
      </c>
      <c r="L138" s="428">
        <f t="shared" ca="1" si="17"/>
        <v>0</v>
      </c>
      <c r="M138" s="429">
        <f ca="1">IF($A138="S",VTOTALBM,IF($A138=0,0,ROUND(SomaAgrupBM,15-13*ORÇAMENTO!$AF$11)))</f>
        <v>0</v>
      </c>
      <c r="N138" s="430">
        <f t="shared" ca="1" si="18"/>
        <v>0</v>
      </c>
      <c r="O138" s="154">
        <f ca="1">IF($A138="S",VTOTALBM,IF($A138=0,0,ROUND(SomaAgrupBM,15-13*ORÇAMENTO!$AF$11)))</f>
        <v>0</v>
      </c>
      <c r="Q138" s="431"/>
      <c r="R138" s="432"/>
      <c r="T138" s="146" t="str">
        <f t="shared" ca="1" si="19"/>
        <v/>
      </c>
      <c r="U138" s="206" t="str">
        <f t="shared" ca="1" si="20"/>
        <v/>
      </c>
      <c r="V138" s="207" t="str">
        <f t="shared" ca="1" si="21"/>
        <v/>
      </c>
      <c r="W138" s="595">
        <f ca="1">IF($Y138&gt;0,CHOOSE(MATCH(RegimeExecucao,{"Unitário","Global"},0),IF($A138="S",$Y138/$X138,""),($Y138/$X138)*100),0)</f>
        <v>0</v>
      </c>
      <c r="X138" s="433" t="str">
        <f ca="1">IF($Y138&gt;0,CHOOSE(MATCH(RegimeExecucao,{"Unitário","Global"},0),IF($A138="S",ROUND($H138,ORÇAMENTO!$AF$10),""),ROUND($I138,ORÇAMENTO!$AF$11)),"")</f>
        <v/>
      </c>
      <c r="Y138" s="433">
        <f t="shared" ca="1" si="22"/>
        <v>0</v>
      </c>
      <c r="Z138" s="434"/>
      <c r="AB138" s="431"/>
      <c r="AC138" s="569"/>
      <c r="AD138" s="569"/>
      <c r="AE138" s="569"/>
      <c r="AF138" s="569"/>
      <c r="AG138" s="569"/>
      <c r="AH138" s="569"/>
      <c r="AI138" s="569"/>
      <c r="AJ138" s="569"/>
      <c r="AK138" s="569"/>
      <c r="AL138" s="569"/>
      <c r="AM138" s="432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3" t="str">
        <f t="shared" ca="1" si="12"/>
        <v/>
      </c>
      <c r="D139" s="146" t="str">
        <f ca="1">ORÇAMENTO!O139</f>
        <v>-</v>
      </c>
      <c r="E139" s="206" t="str">
        <f t="shared" ca="1" si="13"/>
        <v>(abra o arquivo 'Referência 05-2023.xls)</v>
      </c>
      <c r="F139" s="207" t="str">
        <f t="shared" ca="1" si="14"/>
        <v>-</v>
      </c>
      <c r="G139" s="151">
        <f ca="1">IF(RegimeExecucao="Global","",ORÇAMENTO!T139)</f>
        <v>0</v>
      </c>
      <c r="H139" s="151">
        <f ca="1">IF(RegimeExecucao="Global","",ORÇAMENTO!W139)</f>
        <v>0</v>
      </c>
      <c r="I139" s="154">
        <f ca="1">ORÇAMENTO!X139</f>
        <v>0</v>
      </c>
      <c r="J139" s="427">
        <f t="shared" ca="1" si="15"/>
        <v>0</v>
      </c>
      <c r="K139" s="151">
        <f t="shared" ca="1" si="16"/>
        <v>0</v>
      </c>
      <c r="L139" s="428">
        <f t="shared" ca="1" si="17"/>
        <v>0</v>
      </c>
      <c r="M139" s="429">
        <f ca="1">IF($A139="S",VTOTALBM,IF($A139=0,0,ROUND(SomaAgrupBM,15-13*ORÇAMENTO!$AF$11)))</f>
        <v>0</v>
      </c>
      <c r="N139" s="430">
        <f t="shared" ca="1" si="18"/>
        <v>0</v>
      </c>
      <c r="O139" s="154">
        <f ca="1">IF($A139="S",VTOTALBM,IF($A139=0,0,ROUND(SomaAgrupBM,15-13*ORÇAMENTO!$AF$11)))</f>
        <v>0</v>
      </c>
      <c r="Q139" s="431"/>
      <c r="R139" s="432"/>
      <c r="T139" s="146" t="str">
        <f t="shared" ca="1" si="19"/>
        <v/>
      </c>
      <c r="U139" s="206" t="str">
        <f t="shared" ca="1" si="20"/>
        <v/>
      </c>
      <c r="V139" s="207" t="str">
        <f t="shared" ca="1" si="21"/>
        <v/>
      </c>
      <c r="W139" s="595">
        <f ca="1">IF($Y139&gt;0,CHOOSE(MATCH(RegimeExecucao,{"Unitário","Global"},0),IF($A139="S",$Y139/$X139,""),($Y139/$X139)*100),0)</f>
        <v>0</v>
      </c>
      <c r="X139" s="433" t="str">
        <f ca="1">IF($Y139&gt;0,CHOOSE(MATCH(RegimeExecucao,{"Unitário","Global"},0),IF($A139="S",ROUND($H139,ORÇAMENTO!$AF$10),""),ROUND($I139,ORÇAMENTO!$AF$11)),"")</f>
        <v/>
      </c>
      <c r="Y139" s="433">
        <f t="shared" ca="1" si="22"/>
        <v>0</v>
      </c>
      <c r="Z139" s="434"/>
      <c r="AB139" s="431"/>
      <c r="AC139" s="569"/>
      <c r="AD139" s="569"/>
      <c r="AE139" s="569"/>
      <c r="AF139" s="569"/>
      <c r="AG139" s="569"/>
      <c r="AH139" s="569"/>
      <c r="AI139" s="569"/>
      <c r="AJ139" s="569"/>
      <c r="AK139" s="569"/>
      <c r="AL139" s="569"/>
      <c r="AM139" s="432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3" t="str">
        <f t="shared" ca="1" si="12"/>
        <v/>
      </c>
      <c r="D140" s="146" t="str">
        <f ca="1">ORÇAMENTO!O140</f>
        <v>-</v>
      </c>
      <c r="E140" s="206" t="str">
        <f t="shared" ca="1" si="13"/>
        <v>(abra o arquivo 'Referência 05-2023.xls)</v>
      </c>
      <c r="F140" s="207" t="str">
        <f t="shared" ca="1" si="14"/>
        <v>-</v>
      </c>
      <c r="G140" s="151">
        <f ca="1">IF(RegimeExecucao="Global","",ORÇAMENTO!T140)</f>
        <v>0</v>
      </c>
      <c r="H140" s="151">
        <f ca="1">IF(RegimeExecucao="Global","",ORÇAMENTO!W140)</f>
        <v>0</v>
      </c>
      <c r="I140" s="154">
        <f ca="1">ORÇAMENTO!X140</f>
        <v>0</v>
      </c>
      <c r="J140" s="427">
        <f t="shared" ca="1" si="15"/>
        <v>0</v>
      </c>
      <c r="K140" s="151">
        <f t="shared" ca="1" si="16"/>
        <v>0</v>
      </c>
      <c r="L140" s="428">
        <f t="shared" ca="1" si="17"/>
        <v>0</v>
      </c>
      <c r="M140" s="429">
        <f ca="1">IF($A140="S",VTOTALBM,IF($A140=0,0,ROUND(SomaAgrupBM,15-13*ORÇAMENTO!$AF$11)))</f>
        <v>0</v>
      </c>
      <c r="N140" s="430">
        <f t="shared" ca="1" si="18"/>
        <v>0</v>
      </c>
      <c r="O140" s="154">
        <f ca="1">IF($A140="S",VTOTALBM,IF($A140=0,0,ROUND(SomaAgrupBM,15-13*ORÇAMENTO!$AF$11)))</f>
        <v>0</v>
      </c>
      <c r="Q140" s="431"/>
      <c r="R140" s="432"/>
      <c r="T140" s="146" t="str">
        <f t="shared" ca="1" si="19"/>
        <v/>
      </c>
      <c r="U140" s="206" t="str">
        <f t="shared" ca="1" si="20"/>
        <v/>
      </c>
      <c r="V140" s="207" t="str">
        <f t="shared" ca="1" si="21"/>
        <v/>
      </c>
      <c r="W140" s="595">
        <f ca="1">IF($Y140&gt;0,CHOOSE(MATCH(RegimeExecucao,{"Unitário","Global"},0),IF($A140="S",$Y140/$X140,""),($Y140/$X140)*100),0)</f>
        <v>0</v>
      </c>
      <c r="X140" s="433" t="str">
        <f ca="1">IF($Y140&gt;0,CHOOSE(MATCH(RegimeExecucao,{"Unitário","Global"},0),IF($A140="S",ROUND($H140,ORÇAMENTO!$AF$10),""),ROUND($I140,ORÇAMENTO!$AF$11)),"")</f>
        <v/>
      </c>
      <c r="Y140" s="433">
        <f t="shared" ca="1" si="22"/>
        <v>0</v>
      </c>
      <c r="Z140" s="434"/>
      <c r="AB140" s="431"/>
      <c r="AC140" s="569"/>
      <c r="AD140" s="569"/>
      <c r="AE140" s="569"/>
      <c r="AF140" s="569"/>
      <c r="AG140" s="569"/>
      <c r="AH140" s="569"/>
      <c r="AI140" s="569"/>
      <c r="AJ140" s="569"/>
      <c r="AK140" s="569"/>
      <c r="AL140" s="569"/>
      <c r="AM140" s="432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3" t="str">
        <f t="shared" ca="1" si="12"/>
        <v/>
      </c>
      <c r="D141" s="146" t="str">
        <f ca="1">ORÇAMENTO!O141</f>
        <v>-</v>
      </c>
      <c r="E141" s="206" t="str">
        <f t="shared" ca="1" si="13"/>
        <v>(abra o arquivo 'Referência 05-2023.xls)</v>
      </c>
      <c r="F141" s="207" t="str">
        <f t="shared" ca="1" si="14"/>
        <v>-</v>
      </c>
      <c r="G141" s="151">
        <f ca="1">IF(RegimeExecucao="Global","",ORÇAMENTO!T141)</f>
        <v>0</v>
      </c>
      <c r="H141" s="151">
        <f ca="1">IF(RegimeExecucao="Global","",ORÇAMENTO!W141)</f>
        <v>0</v>
      </c>
      <c r="I141" s="154">
        <f ca="1">ORÇAMENTO!X141</f>
        <v>0</v>
      </c>
      <c r="J141" s="427">
        <f t="shared" ca="1" si="15"/>
        <v>0</v>
      </c>
      <c r="K141" s="151">
        <f t="shared" ca="1" si="16"/>
        <v>0</v>
      </c>
      <c r="L141" s="428">
        <f t="shared" ca="1" si="17"/>
        <v>0</v>
      </c>
      <c r="M141" s="429">
        <f ca="1">IF($A141="S",VTOTALBM,IF($A141=0,0,ROUND(SomaAgrupBM,15-13*ORÇAMENTO!$AF$11)))</f>
        <v>0</v>
      </c>
      <c r="N141" s="430">
        <f t="shared" ca="1" si="18"/>
        <v>0</v>
      </c>
      <c r="O141" s="154">
        <f ca="1">IF($A141="S",VTOTALBM,IF($A141=0,0,ROUND(SomaAgrupBM,15-13*ORÇAMENTO!$AF$11)))</f>
        <v>0</v>
      </c>
      <c r="Q141" s="431"/>
      <c r="R141" s="432"/>
      <c r="T141" s="146" t="str">
        <f t="shared" ca="1" si="19"/>
        <v/>
      </c>
      <c r="U141" s="206" t="str">
        <f t="shared" ca="1" si="20"/>
        <v/>
      </c>
      <c r="V141" s="207" t="str">
        <f t="shared" ca="1" si="21"/>
        <v/>
      </c>
      <c r="W141" s="595">
        <f ca="1">IF($Y141&gt;0,CHOOSE(MATCH(RegimeExecucao,{"Unitário","Global"},0),IF($A141="S",$Y141/$X141,""),($Y141/$X141)*100),0)</f>
        <v>0</v>
      </c>
      <c r="X141" s="433" t="str">
        <f ca="1">IF($Y141&gt;0,CHOOSE(MATCH(RegimeExecucao,{"Unitário","Global"},0),IF($A141="S",ROUND($H141,ORÇAMENTO!$AF$10),""),ROUND($I141,ORÇAMENTO!$AF$11)),"")</f>
        <v/>
      </c>
      <c r="Y141" s="433">
        <f t="shared" ca="1" si="22"/>
        <v>0</v>
      </c>
      <c r="Z141" s="434"/>
      <c r="AB141" s="431"/>
      <c r="AC141" s="569"/>
      <c r="AD141" s="569"/>
      <c r="AE141" s="569"/>
      <c r="AF141" s="569"/>
      <c r="AG141" s="569"/>
      <c r="AH141" s="569"/>
      <c r="AI141" s="569"/>
      <c r="AJ141" s="569"/>
      <c r="AK141" s="569"/>
      <c r="AL141" s="569"/>
      <c r="AM141" s="432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3" t="str">
        <f t="shared" ca="1" si="12"/>
        <v/>
      </c>
      <c r="D142" s="146" t="str">
        <f ca="1">ORÇAMENTO!O142</f>
        <v>-</v>
      </c>
      <c r="E142" s="206" t="str">
        <f t="shared" ca="1" si="13"/>
        <v>(abra o arquivo 'Referência 05-2023.xls)</v>
      </c>
      <c r="F142" s="207" t="str">
        <f t="shared" ca="1" si="14"/>
        <v>-</v>
      </c>
      <c r="G142" s="151">
        <f ca="1">IF(RegimeExecucao="Global","",ORÇAMENTO!T142)</f>
        <v>0</v>
      </c>
      <c r="H142" s="151">
        <f ca="1">IF(RegimeExecucao="Global","",ORÇAMENTO!W142)</f>
        <v>0</v>
      </c>
      <c r="I142" s="154">
        <f ca="1">ORÇAMENTO!X142</f>
        <v>0</v>
      </c>
      <c r="J142" s="427">
        <f t="shared" ca="1" si="15"/>
        <v>0</v>
      </c>
      <c r="K142" s="151">
        <f t="shared" ca="1" si="16"/>
        <v>0</v>
      </c>
      <c r="L142" s="428">
        <f t="shared" ca="1" si="17"/>
        <v>0</v>
      </c>
      <c r="M142" s="429">
        <f ca="1">IF($A142="S",VTOTALBM,IF($A142=0,0,ROUND(SomaAgrupBM,15-13*ORÇAMENTO!$AF$11)))</f>
        <v>0</v>
      </c>
      <c r="N142" s="430">
        <f t="shared" ca="1" si="18"/>
        <v>0</v>
      </c>
      <c r="O142" s="154">
        <f ca="1">IF($A142="S",VTOTALBM,IF($A142=0,0,ROUND(SomaAgrupBM,15-13*ORÇAMENTO!$AF$11)))</f>
        <v>0</v>
      </c>
      <c r="Q142" s="431"/>
      <c r="R142" s="432"/>
      <c r="T142" s="146" t="str">
        <f t="shared" ca="1" si="19"/>
        <v/>
      </c>
      <c r="U142" s="206" t="str">
        <f t="shared" ca="1" si="20"/>
        <v/>
      </c>
      <c r="V142" s="207" t="str">
        <f t="shared" ca="1" si="21"/>
        <v/>
      </c>
      <c r="W142" s="595">
        <f ca="1">IF($Y142&gt;0,CHOOSE(MATCH(RegimeExecucao,{"Unitário","Global"},0),IF($A142="S",$Y142/$X142,""),($Y142/$X142)*100),0)</f>
        <v>0</v>
      </c>
      <c r="X142" s="433" t="str">
        <f ca="1">IF($Y142&gt;0,CHOOSE(MATCH(RegimeExecucao,{"Unitário","Global"},0),IF($A142="S",ROUND($H142,ORÇAMENTO!$AF$10),""),ROUND($I142,ORÇAMENTO!$AF$11)),"")</f>
        <v/>
      </c>
      <c r="Y142" s="433">
        <f t="shared" ca="1" si="22"/>
        <v>0</v>
      </c>
      <c r="Z142" s="434"/>
      <c r="AB142" s="431"/>
      <c r="AC142" s="569"/>
      <c r="AD142" s="569"/>
      <c r="AE142" s="569"/>
      <c r="AF142" s="569"/>
      <c r="AG142" s="569"/>
      <c r="AH142" s="569"/>
      <c r="AI142" s="569"/>
      <c r="AJ142" s="569"/>
      <c r="AK142" s="569"/>
      <c r="AL142" s="569"/>
      <c r="AM142" s="432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3" t="str">
        <f t="shared" ca="1" si="12"/>
        <v/>
      </c>
      <c r="D143" s="146" t="str">
        <f ca="1">ORÇAMENTO!O143</f>
        <v>-</v>
      </c>
      <c r="E143" s="206" t="str">
        <f t="shared" ca="1" si="13"/>
        <v>(abra o arquivo 'Referência 05-2023.xls)</v>
      </c>
      <c r="F143" s="207" t="str">
        <f t="shared" ca="1" si="14"/>
        <v>-</v>
      </c>
      <c r="G143" s="151">
        <f ca="1">IF(RegimeExecucao="Global","",ORÇAMENTO!T143)</f>
        <v>0</v>
      </c>
      <c r="H143" s="151">
        <f ca="1">IF(RegimeExecucao="Global","",ORÇAMENTO!W143)</f>
        <v>0</v>
      </c>
      <c r="I143" s="154">
        <f ca="1">ORÇAMENTO!X143</f>
        <v>0</v>
      </c>
      <c r="J143" s="427">
        <f t="shared" ca="1" si="15"/>
        <v>0</v>
      </c>
      <c r="K143" s="151">
        <f t="shared" ca="1" si="16"/>
        <v>0</v>
      </c>
      <c r="L143" s="428">
        <f t="shared" ca="1" si="17"/>
        <v>0</v>
      </c>
      <c r="M143" s="429">
        <f ca="1">IF($A143="S",VTOTALBM,IF($A143=0,0,ROUND(SomaAgrupBM,15-13*ORÇAMENTO!$AF$11)))</f>
        <v>0</v>
      </c>
      <c r="N143" s="430">
        <f t="shared" ca="1" si="18"/>
        <v>0</v>
      </c>
      <c r="O143" s="154">
        <f ca="1">IF($A143="S",VTOTALBM,IF($A143=0,0,ROUND(SomaAgrupBM,15-13*ORÇAMENTO!$AF$11)))</f>
        <v>0</v>
      </c>
      <c r="Q143" s="431"/>
      <c r="R143" s="432"/>
      <c r="T143" s="146" t="str">
        <f t="shared" ca="1" si="19"/>
        <v/>
      </c>
      <c r="U143" s="206" t="str">
        <f t="shared" ca="1" si="20"/>
        <v/>
      </c>
      <c r="V143" s="207" t="str">
        <f t="shared" ca="1" si="21"/>
        <v/>
      </c>
      <c r="W143" s="595">
        <f ca="1">IF($Y143&gt;0,CHOOSE(MATCH(RegimeExecucao,{"Unitário","Global"},0),IF($A143="S",$Y143/$X143,""),($Y143/$X143)*100),0)</f>
        <v>0</v>
      </c>
      <c r="X143" s="433" t="str">
        <f ca="1">IF($Y143&gt;0,CHOOSE(MATCH(RegimeExecucao,{"Unitário","Global"},0),IF($A143="S",ROUND($H143,ORÇAMENTO!$AF$10),""),ROUND($I143,ORÇAMENTO!$AF$11)),"")</f>
        <v/>
      </c>
      <c r="Y143" s="433">
        <f t="shared" ca="1" si="22"/>
        <v>0</v>
      </c>
      <c r="Z143" s="434"/>
      <c r="AB143" s="431"/>
      <c r="AC143" s="569"/>
      <c r="AD143" s="569"/>
      <c r="AE143" s="569"/>
      <c r="AF143" s="569"/>
      <c r="AG143" s="569"/>
      <c r="AH143" s="569"/>
      <c r="AI143" s="569"/>
      <c r="AJ143" s="569"/>
      <c r="AK143" s="569"/>
      <c r="AL143" s="569"/>
      <c r="AM143" s="432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3" t="str">
        <f t="shared" ref="C144:C207" ca="1" si="23">IF(OR($I144&gt;0,$A144=1,$A144=2,$A144=3,$A144=4),"F","")</f>
        <v/>
      </c>
      <c r="D144" s="146" t="str">
        <f ca="1">ORÇAMENTO!O144</f>
        <v>-</v>
      </c>
      <c r="E144" s="206" t="str">
        <f t="shared" ref="E144:E207" ca="1" si="24">ORÇAMENTO.Descricao</f>
        <v>(abra o arquivo 'Referência 05-2023.xls)</v>
      </c>
      <c r="F144" s="207" t="str">
        <f t="shared" ref="F144:F207" ca="1" si="25">IF(RegimeExecucao="Global","",ORÇAMENTO.Unidade)</f>
        <v>-</v>
      </c>
      <c r="G144" s="151">
        <f ca="1">IF(RegimeExecucao="Global","",ORÇAMENTO!T144)</f>
        <v>0</v>
      </c>
      <c r="H144" s="151">
        <f ca="1">IF(RegimeExecucao="Global","",ORÇAMENTO!W144)</f>
        <v>0</v>
      </c>
      <c r="I144" s="154">
        <f ca="1">ORÇAMENTO!X144</f>
        <v>0</v>
      </c>
      <c r="J144" s="427">
        <f t="shared" ref="J144:J207" ca="1" si="26">IF($A144="S",IF(CAIXA.Modo,BM.AFAnterior,BM.MEDAnterior),IF(AND(RegimeExecucao="Global",$I144&gt;0,COUNTIF($AB$13:$AM$13,BM.medicao-1)&gt;0),M144/$I144*100,0))</f>
        <v>0</v>
      </c>
      <c r="K144" s="151">
        <f t="shared" ref="K144:K207" ca="1" si="27">L144-J144</f>
        <v>0</v>
      </c>
      <c r="L144" s="428">
        <f t="shared" ref="L144:L207" ca="1" si="28">IF($A144="S",IF(CAIXA.Modo,BM.AFAcumulado,BM.MEDAcumulado),IF(AND(RegimeExecucao="Global",$I144&gt;0,COUNTIF($AB$13:$AM$13,BM.medicao)&gt;0),O144/$I144*100,0))</f>
        <v>0</v>
      </c>
      <c r="M144" s="429">
        <f ca="1">IF($A144="S",VTOTALBM,IF($A144=0,0,ROUND(SomaAgrupBM,15-13*ORÇAMENTO!$AF$11)))</f>
        <v>0</v>
      </c>
      <c r="N144" s="430">
        <f t="shared" ref="N144:N207" ca="1" si="29">O144-M144</f>
        <v>0</v>
      </c>
      <c r="O144" s="154">
        <f ca="1">IF($A144="S",VTOTALBM,IF($A144=0,0,ROUND(SomaAgrupBM,15-13*ORÇAMENTO!$AF$11)))</f>
        <v>0</v>
      </c>
      <c r="Q144" s="431"/>
      <c r="R144" s="432"/>
      <c r="T144" s="146" t="str">
        <f t="shared" ref="T144:T207" ca="1" si="30">IF($W144&gt;0,$D144,"")</f>
        <v/>
      </c>
      <c r="U144" s="206" t="str">
        <f t="shared" ref="U144:U207" ca="1" si="31">IF($W144&gt;0,$E144,"")</f>
        <v/>
      </c>
      <c r="V144" s="207" t="str">
        <f t="shared" ref="V144:V207" ca="1" si="32">IF(AND($W144&gt;0,RegimeExecucao="Unitário"),$F144,"")</f>
        <v/>
      </c>
      <c r="W144" s="595">
        <f ca="1">IF($Y144&gt;0,CHOOSE(MATCH(RegimeExecucao,{"Unitário","Global"},0),IF($A144="S",$Y144/$X144,""),($Y144/$X144)*100),0)</f>
        <v>0</v>
      </c>
      <c r="X144" s="433" t="str">
        <f ca="1">IF($Y144&gt;0,CHOOSE(MATCH(RegimeExecucao,{"Unitário","Global"},0),IF($A144="S",ROUND($H144,ORÇAMENTO!$AF$10),""),ROUND($I144,ORÇAMENTO!$AF$11)),"")</f>
        <v/>
      </c>
      <c r="Y144" s="433">
        <f t="shared" ref="Y144:Y207" ca="1" si="33">AO144-O144</f>
        <v>0</v>
      </c>
      <c r="Z144" s="434"/>
      <c r="AB144" s="431"/>
      <c r="AC144" s="569"/>
      <c r="AD144" s="569"/>
      <c r="AE144" s="569"/>
      <c r="AF144" s="569"/>
      <c r="AG144" s="569"/>
      <c r="AH144" s="569"/>
      <c r="AI144" s="569"/>
      <c r="AJ144" s="569"/>
      <c r="AK144" s="569"/>
      <c r="AL144" s="569"/>
      <c r="AM144" s="432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3" t="str">
        <f t="shared" ca="1" si="23"/>
        <v/>
      </c>
      <c r="D145" s="146" t="str">
        <f ca="1">ORÇAMENTO!O145</f>
        <v>-</v>
      </c>
      <c r="E145" s="206" t="str">
        <f t="shared" ca="1" si="24"/>
        <v>(abra o arquivo 'Referência 05-2023.xls)</v>
      </c>
      <c r="F145" s="207" t="str">
        <f t="shared" ca="1" si="25"/>
        <v>-</v>
      </c>
      <c r="G145" s="151">
        <f ca="1">IF(RegimeExecucao="Global","",ORÇAMENTO!T145)</f>
        <v>0</v>
      </c>
      <c r="H145" s="151">
        <f ca="1">IF(RegimeExecucao="Global","",ORÇAMENTO!W145)</f>
        <v>0</v>
      </c>
      <c r="I145" s="154">
        <f ca="1">ORÇAMENTO!X145</f>
        <v>0</v>
      </c>
      <c r="J145" s="427">
        <f t="shared" ca="1" si="26"/>
        <v>0</v>
      </c>
      <c r="K145" s="151">
        <f t="shared" ca="1" si="27"/>
        <v>0</v>
      </c>
      <c r="L145" s="428">
        <f t="shared" ca="1" si="28"/>
        <v>0</v>
      </c>
      <c r="M145" s="429">
        <f ca="1">IF($A145="S",VTOTALBM,IF($A145=0,0,ROUND(SomaAgrupBM,15-13*ORÇAMENTO!$AF$11)))</f>
        <v>0</v>
      </c>
      <c r="N145" s="430">
        <f t="shared" ca="1" si="29"/>
        <v>0</v>
      </c>
      <c r="O145" s="154">
        <f ca="1">IF($A145="S",VTOTALBM,IF($A145=0,0,ROUND(SomaAgrupBM,15-13*ORÇAMENTO!$AF$11)))</f>
        <v>0</v>
      </c>
      <c r="Q145" s="431"/>
      <c r="R145" s="432"/>
      <c r="T145" s="146" t="str">
        <f t="shared" ca="1" si="30"/>
        <v/>
      </c>
      <c r="U145" s="206" t="str">
        <f t="shared" ca="1" si="31"/>
        <v/>
      </c>
      <c r="V145" s="207" t="str">
        <f t="shared" ca="1" si="32"/>
        <v/>
      </c>
      <c r="W145" s="595">
        <f ca="1">IF($Y145&gt;0,CHOOSE(MATCH(RegimeExecucao,{"Unitário","Global"},0),IF($A145="S",$Y145/$X145,""),($Y145/$X145)*100),0)</f>
        <v>0</v>
      </c>
      <c r="X145" s="433" t="str">
        <f ca="1">IF($Y145&gt;0,CHOOSE(MATCH(RegimeExecucao,{"Unitário","Global"},0),IF($A145="S",ROUND($H145,ORÇAMENTO!$AF$10),""),ROUND($I145,ORÇAMENTO!$AF$11)),"")</f>
        <v/>
      </c>
      <c r="Y145" s="433">
        <f t="shared" ca="1" si="33"/>
        <v>0</v>
      </c>
      <c r="Z145" s="434"/>
      <c r="AB145" s="431"/>
      <c r="AC145" s="569"/>
      <c r="AD145" s="569"/>
      <c r="AE145" s="569"/>
      <c r="AF145" s="569"/>
      <c r="AG145" s="569"/>
      <c r="AH145" s="569"/>
      <c r="AI145" s="569"/>
      <c r="AJ145" s="569"/>
      <c r="AK145" s="569"/>
      <c r="AL145" s="569"/>
      <c r="AM145" s="432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3" t="str">
        <f t="shared" ca="1" si="23"/>
        <v/>
      </c>
      <c r="D146" s="146" t="str">
        <f ca="1">ORÇAMENTO!O146</f>
        <v>-</v>
      </c>
      <c r="E146" s="206" t="str">
        <f t="shared" ca="1" si="24"/>
        <v>(abra o arquivo 'Referência 05-2023.xls)</v>
      </c>
      <c r="F146" s="207" t="str">
        <f t="shared" ca="1" si="25"/>
        <v>-</v>
      </c>
      <c r="G146" s="151">
        <f ca="1">IF(RegimeExecucao="Global","",ORÇAMENTO!T146)</f>
        <v>0</v>
      </c>
      <c r="H146" s="151">
        <f ca="1">IF(RegimeExecucao="Global","",ORÇAMENTO!W146)</f>
        <v>0</v>
      </c>
      <c r="I146" s="154">
        <f ca="1">ORÇAMENTO!X146</f>
        <v>0</v>
      </c>
      <c r="J146" s="427">
        <f t="shared" ca="1" si="26"/>
        <v>0</v>
      </c>
      <c r="K146" s="151">
        <f t="shared" ca="1" si="27"/>
        <v>0</v>
      </c>
      <c r="L146" s="428">
        <f t="shared" ca="1" si="28"/>
        <v>0</v>
      </c>
      <c r="M146" s="429">
        <f ca="1">IF($A146="S",VTOTALBM,IF($A146=0,0,ROUND(SomaAgrupBM,15-13*ORÇAMENTO!$AF$11)))</f>
        <v>0</v>
      </c>
      <c r="N146" s="430">
        <f t="shared" ca="1" si="29"/>
        <v>0</v>
      </c>
      <c r="O146" s="154">
        <f ca="1">IF($A146="S",VTOTALBM,IF($A146=0,0,ROUND(SomaAgrupBM,15-13*ORÇAMENTO!$AF$11)))</f>
        <v>0</v>
      </c>
      <c r="Q146" s="431"/>
      <c r="R146" s="432"/>
      <c r="T146" s="146" t="str">
        <f t="shared" ca="1" si="30"/>
        <v/>
      </c>
      <c r="U146" s="206" t="str">
        <f t="shared" ca="1" si="31"/>
        <v/>
      </c>
      <c r="V146" s="207" t="str">
        <f t="shared" ca="1" si="32"/>
        <v/>
      </c>
      <c r="W146" s="595">
        <f ca="1">IF($Y146&gt;0,CHOOSE(MATCH(RegimeExecucao,{"Unitário","Global"},0),IF($A146="S",$Y146/$X146,""),($Y146/$X146)*100),0)</f>
        <v>0</v>
      </c>
      <c r="X146" s="433" t="str">
        <f ca="1">IF($Y146&gt;0,CHOOSE(MATCH(RegimeExecucao,{"Unitário","Global"},0),IF($A146="S",ROUND($H146,ORÇAMENTO!$AF$10),""),ROUND($I146,ORÇAMENTO!$AF$11)),"")</f>
        <v/>
      </c>
      <c r="Y146" s="433">
        <f t="shared" ca="1" si="33"/>
        <v>0</v>
      </c>
      <c r="Z146" s="434"/>
      <c r="AB146" s="431"/>
      <c r="AC146" s="569"/>
      <c r="AD146" s="569"/>
      <c r="AE146" s="569"/>
      <c r="AF146" s="569"/>
      <c r="AG146" s="569"/>
      <c r="AH146" s="569"/>
      <c r="AI146" s="569"/>
      <c r="AJ146" s="569"/>
      <c r="AK146" s="569"/>
      <c r="AL146" s="569"/>
      <c r="AM146" s="432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3" t="str">
        <f t="shared" ca="1" si="23"/>
        <v/>
      </c>
      <c r="D147" s="146" t="str">
        <f ca="1">ORÇAMENTO!O147</f>
        <v>-</v>
      </c>
      <c r="E147" s="206" t="str">
        <f t="shared" ca="1" si="24"/>
        <v>(abra o arquivo 'Referência 05-2023.xls)</v>
      </c>
      <c r="F147" s="207" t="str">
        <f t="shared" ca="1" si="25"/>
        <v>-</v>
      </c>
      <c r="G147" s="151">
        <f ca="1">IF(RegimeExecucao="Global","",ORÇAMENTO!T147)</f>
        <v>0</v>
      </c>
      <c r="H147" s="151">
        <f ca="1">IF(RegimeExecucao="Global","",ORÇAMENTO!W147)</f>
        <v>0</v>
      </c>
      <c r="I147" s="154">
        <f ca="1">ORÇAMENTO!X147</f>
        <v>0</v>
      </c>
      <c r="J147" s="427">
        <f t="shared" ca="1" si="26"/>
        <v>0</v>
      </c>
      <c r="K147" s="151">
        <f t="shared" ca="1" si="27"/>
        <v>0</v>
      </c>
      <c r="L147" s="428">
        <f t="shared" ca="1" si="28"/>
        <v>0</v>
      </c>
      <c r="M147" s="429">
        <f ca="1">IF($A147="S",VTOTALBM,IF($A147=0,0,ROUND(SomaAgrupBM,15-13*ORÇAMENTO!$AF$11)))</f>
        <v>0</v>
      </c>
      <c r="N147" s="430">
        <f t="shared" ca="1" si="29"/>
        <v>0</v>
      </c>
      <c r="O147" s="154">
        <f ca="1">IF($A147="S",VTOTALBM,IF($A147=0,0,ROUND(SomaAgrupBM,15-13*ORÇAMENTO!$AF$11)))</f>
        <v>0</v>
      </c>
      <c r="Q147" s="431"/>
      <c r="R147" s="432"/>
      <c r="T147" s="146" t="str">
        <f t="shared" ca="1" si="30"/>
        <v/>
      </c>
      <c r="U147" s="206" t="str">
        <f t="shared" ca="1" si="31"/>
        <v/>
      </c>
      <c r="V147" s="207" t="str">
        <f t="shared" ca="1" si="32"/>
        <v/>
      </c>
      <c r="W147" s="595">
        <f ca="1">IF($Y147&gt;0,CHOOSE(MATCH(RegimeExecucao,{"Unitário","Global"},0),IF($A147="S",$Y147/$X147,""),($Y147/$X147)*100),0)</f>
        <v>0</v>
      </c>
      <c r="X147" s="433" t="str">
        <f ca="1">IF($Y147&gt;0,CHOOSE(MATCH(RegimeExecucao,{"Unitário","Global"},0),IF($A147="S",ROUND($H147,ORÇAMENTO!$AF$10),""),ROUND($I147,ORÇAMENTO!$AF$11)),"")</f>
        <v/>
      </c>
      <c r="Y147" s="433">
        <f t="shared" ca="1" si="33"/>
        <v>0</v>
      </c>
      <c r="Z147" s="434"/>
      <c r="AB147" s="431"/>
      <c r="AC147" s="569"/>
      <c r="AD147" s="569"/>
      <c r="AE147" s="569"/>
      <c r="AF147" s="569"/>
      <c r="AG147" s="569"/>
      <c r="AH147" s="569"/>
      <c r="AI147" s="569"/>
      <c r="AJ147" s="569"/>
      <c r="AK147" s="569"/>
      <c r="AL147" s="569"/>
      <c r="AM147" s="432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3" t="str">
        <f t="shared" ca="1" si="23"/>
        <v/>
      </c>
      <c r="D148" s="146" t="str">
        <f ca="1">ORÇAMENTO!O148</f>
        <v>-</v>
      </c>
      <c r="E148" s="206" t="str">
        <f t="shared" ca="1" si="24"/>
        <v>(abra o arquivo 'Referência 05-2023.xls)</v>
      </c>
      <c r="F148" s="207" t="str">
        <f t="shared" ca="1" si="25"/>
        <v>-</v>
      </c>
      <c r="G148" s="151">
        <f ca="1">IF(RegimeExecucao="Global","",ORÇAMENTO!T148)</f>
        <v>0</v>
      </c>
      <c r="H148" s="151">
        <f ca="1">IF(RegimeExecucao="Global","",ORÇAMENTO!W148)</f>
        <v>0</v>
      </c>
      <c r="I148" s="154">
        <f ca="1">ORÇAMENTO!X148</f>
        <v>0</v>
      </c>
      <c r="J148" s="427">
        <f t="shared" ca="1" si="26"/>
        <v>0</v>
      </c>
      <c r="K148" s="151">
        <f t="shared" ca="1" si="27"/>
        <v>0</v>
      </c>
      <c r="L148" s="428">
        <f t="shared" ca="1" si="28"/>
        <v>0</v>
      </c>
      <c r="M148" s="429">
        <f ca="1">IF($A148="S",VTOTALBM,IF($A148=0,0,ROUND(SomaAgrupBM,15-13*ORÇAMENTO!$AF$11)))</f>
        <v>0</v>
      </c>
      <c r="N148" s="430">
        <f t="shared" ca="1" si="29"/>
        <v>0</v>
      </c>
      <c r="O148" s="154">
        <f ca="1">IF($A148="S",VTOTALBM,IF($A148=0,0,ROUND(SomaAgrupBM,15-13*ORÇAMENTO!$AF$11)))</f>
        <v>0</v>
      </c>
      <c r="Q148" s="431"/>
      <c r="R148" s="432"/>
      <c r="T148" s="146" t="str">
        <f t="shared" ca="1" si="30"/>
        <v/>
      </c>
      <c r="U148" s="206" t="str">
        <f t="shared" ca="1" si="31"/>
        <v/>
      </c>
      <c r="V148" s="207" t="str">
        <f t="shared" ca="1" si="32"/>
        <v/>
      </c>
      <c r="W148" s="595">
        <f ca="1">IF($Y148&gt;0,CHOOSE(MATCH(RegimeExecucao,{"Unitário","Global"},0),IF($A148="S",$Y148/$X148,""),($Y148/$X148)*100),0)</f>
        <v>0</v>
      </c>
      <c r="X148" s="433" t="str">
        <f ca="1">IF($Y148&gt;0,CHOOSE(MATCH(RegimeExecucao,{"Unitário","Global"},0),IF($A148="S",ROUND($H148,ORÇAMENTO!$AF$10),""),ROUND($I148,ORÇAMENTO!$AF$11)),"")</f>
        <v/>
      </c>
      <c r="Y148" s="433">
        <f t="shared" ca="1" si="33"/>
        <v>0</v>
      </c>
      <c r="Z148" s="434"/>
      <c r="AB148" s="431"/>
      <c r="AC148" s="569"/>
      <c r="AD148" s="569"/>
      <c r="AE148" s="569"/>
      <c r="AF148" s="569"/>
      <c r="AG148" s="569"/>
      <c r="AH148" s="569"/>
      <c r="AI148" s="569"/>
      <c r="AJ148" s="569"/>
      <c r="AK148" s="569"/>
      <c r="AL148" s="569"/>
      <c r="AM148" s="432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3" t="str">
        <f t="shared" ca="1" si="23"/>
        <v/>
      </c>
      <c r="D149" s="146" t="str">
        <f ca="1">ORÇAMENTO!O149</f>
        <v>-</v>
      </c>
      <c r="E149" s="206" t="str">
        <f t="shared" ca="1" si="24"/>
        <v>(abra o arquivo 'Referência 05-2023.xls)</v>
      </c>
      <c r="F149" s="207" t="str">
        <f t="shared" ca="1" si="25"/>
        <v>-</v>
      </c>
      <c r="G149" s="151">
        <f ca="1">IF(RegimeExecucao="Global","",ORÇAMENTO!T149)</f>
        <v>0</v>
      </c>
      <c r="H149" s="151">
        <f ca="1">IF(RegimeExecucao="Global","",ORÇAMENTO!W149)</f>
        <v>0</v>
      </c>
      <c r="I149" s="154">
        <f ca="1">ORÇAMENTO!X149</f>
        <v>0</v>
      </c>
      <c r="J149" s="427">
        <f t="shared" ca="1" si="26"/>
        <v>0</v>
      </c>
      <c r="K149" s="151">
        <f t="shared" ca="1" si="27"/>
        <v>0</v>
      </c>
      <c r="L149" s="428">
        <f t="shared" ca="1" si="28"/>
        <v>0</v>
      </c>
      <c r="M149" s="429">
        <f ca="1">IF($A149="S",VTOTALBM,IF($A149=0,0,ROUND(SomaAgrupBM,15-13*ORÇAMENTO!$AF$11)))</f>
        <v>0</v>
      </c>
      <c r="N149" s="430">
        <f t="shared" ca="1" si="29"/>
        <v>0</v>
      </c>
      <c r="O149" s="154">
        <f ca="1">IF($A149="S",VTOTALBM,IF($A149=0,0,ROUND(SomaAgrupBM,15-13*ORÇAMENTO!$AF$11)))</f>
        <v>0</v>
      </c>
      <c r="Q149" s="431"/>
      <c r="R149" s="432"/>
      <c r="T149" s="146" t="str">
        <f t="shared" ca="1" si="30"/>
        <v/>
      </c>
      <c r="U149" s="206" t="str">
        <f t="shared" ca="1" si="31"/>
        <v/>
      </c>
      <c r="V149" s="207" t="str">
        <f t="shared" ca="1" si="32"/>
        <v/>
      </c>
      <c r="W149" s="595">
        <f ca="1">IF($Y149&gt;0,CHOOSE(MATCH(RegimeExecucao,{"Unitário","Global"},0),IF($A149="S",$Y149/$X149,""),($Y149/$X149)*100),0)</f>
        <v>0</v>
      </c>
      <c r="X149" s="433" t="str">
        <f ca="1">IF($Y149&gt;0,CHOOSE(MATCH(RegimeExecucao,{"Unitário","Global"},0),IF($A149="S",ROUND($H149,ORÇAMENTO!$AF$10),""),ROUND($I149,ORÇAMENTO!$AF$11)),"")</f>
        <v/>
      </c>
      <c r="Y149" s="433">
        <f t="shared" ca="1" si="33"/>
        <v>0</v>
      </c>
      <c r="Z149" s="434"/>
      <c r="AB149" s="431"/>
      <c r="AC149" s="569"/>
      <c r="AD149" s="569"/>
      <c r="AE149" s="569"/>
      <c r="AF149" s="569"/>
      <c r="AG149" s="569"/>
      <c r="AH149" s="569"/>
      <c r="AI149" s="569"/>
      <c r="AJ149" s="569"/>
      <c r="AK149" s="569"/>
      <c r="AL149" s="569"/>
      <c r="AM149" s="432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3" t="str">
        <f t="shared" ca="1" si="23"/>
        <v/>
      </c>
      <c r="D150" s="146" t="str">
        <f ca="1">ORÇAMENTO!O150</f>
        <v>-</v>
      </c>
      <c r="E150" s="206" t="str">
        <f t="shared" ca="1" si="24"/>
        <v>(abra o arquivo 'Referência 05-2023.xls)</v>
      </c>
      <c r="F150" s="207" t="str">
        <f t="shared" ca="1" si="25"/>
        <v>-</v>
      </c>
      <c r="G150" s="151">
        <f ca="1">IF(RegimeExecucao="Global","",ORÇAMENTO!T150)</f>
        <v>0</v>
      </c>
      <c r="H150" s="151">
        <f ca="1">IF(RegimeExecucao="Global","",ORÇAMENTO!W150)</f>
        <v>0</v>
      </c>
      <c r="I150" s="154">
        <f ca="1">ORÇAMENTO!X150</f>
        <v>0</v>
      </c>
      <c r="J150" s="427">
        <f t="shared" ca="1" si="26"/>
        <v>0</v>
      </c>
      <c r="K150" s="151">
        <f t="shared" ca="1" si="27"/>
        <v>0</v>
      </c>
      <c r="L150" s="428">
        <f t="shared" ca="1" si="28"/>
        <v>0</v>
      </c>
      <c r="M150" s="429">
        <f ca="1">IF($A150="S",VTOTALBM,IF($A150=0,0,ROUND(SomaAgrupBM,15-13*ORÇAMENTO!$AF$11)))</f>
        <v>0</v>
      </c>
      <c r="N150" s="430">
        <f t="shared" ca="1" si="29"/>
        <v>0</v>
      </c>
      <c r="O150" s="154">
        <f ca="1">IF($A150="S",VTOTALBM,IF($A150=0,0,ROUND(SomaAgrupBM,15-13*ORÇAMENTO!$AF$11)))</f>
        <v>0</v>
      </c>
      <c r="Q150" s="431"/>
      <c r="R150" s="432"/>
      <c r="T150" s="146" t="str">
        <f t="shared" ca="1" si="30"/>
        <v/>
      </c>
      <c r="U150" s="206" t="str">
        <f t="shared" ca="1" si="31"/>
        <v/>
      </c>
      <c r="V150" s="207" t="str">
        <f t="shared" ca="1" si="32"/>
        <v/>
      </c>
      <c r="W150" s="595">
        <f ca="1">IF($Y150&gt;0,CHOOSE(MATCH(RegimeExecucao,{"Unitário","Global"},0),IF($A150="S",$Y150/$X150,""),($Y150/$X150)*100),0)</f>
        <v>0</v>
      </c>
      <c r="X150" s="433" t="str">
        <f ca="1">IF($Y150&gt;0,CHOOSE(MATCH(RegimeExecucao,{"Unitário","Global"},0),IF($A150="S",ROUND($H150,ORÇAMENTO!$AF$10),""),ROUND($I150,ORÇAMENTO!$AF$11)),"")</f>
        <v/>
      </c>
      <c r="Y150" s="433">
        <f t="shared" ca="1" si="33"/>
        <v>0</v>
      </c>
      <c r="Z150" s="434"/>
      <c r="AB150" s="431"/>
      <c r="AC150" s="569"/>
      <c r="AD150" s="569"/>
      <c r="AE150" s="569"/>
      <c r="AF150" s="569"/>
      <c r="AG150" s="569"/>
      <c r="AH150" s="569"/>
      <c r="AI150" s="569"/>
      <c r="AJ150" s="569"/>
      <c r="AK150" s="569"/>
      <c r="AL150" s="569"/>
      <c r="AM150" s="432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3" t="str">
        <f t="shared" ca="1" si="23"/>
        <v/>
      </c>
      <c r="D151" s="146" t="str">
        <f ca="1">ORÇAMENTO!O151</f>
        <v>-</v>
      </c>
      <c r="E151" s="206" t="str">
        <f t="shared" ca="1" si="24"/>
        <v>(abra o arquivo 'Referência 05-2023.xls)</v>
      </c>
      <c r="F151" s="207" t="str">
        <f t="shared" ca="1" si="25"/>
        <v>-</v>
      </c>
      <c r="G151" s="151">
        <f ca="1">IF(RegimeExecucao="Global","",ORÇAMENTO!T151)</f>
        <v>0</v>
      </c>
      <c r="H151" s="151">
        <f ca="1">IF(RegimeExecucao="Global","",ORÇAMENTO!W151)</f>
        <v>0</v>
      </c>
      <c r="I151" s="154">
        <f ca="1">ORÇAMENTO!X151</f>
        <v>0</v>
      </c>
      <c r="J151" s="427">
        <f t="shared" ca="1" si="26"/>
        <v>0</v>
      </c>
      <c r="K151" s="151">
        <f t="shared" ca="1" si="27"/>
        <v>0</v>
      </c>
      <c r="L151" s="428">
        <f t="shared" ca="1" si="28"/>
        <v>0</v>
      </c>
      <c r="M151" s="429">
        <f ca="1">IF($A151="S",VTOTALBM,IF($A151=0,0,ROUND(SomaAgrupBM,15-13*ORÇAMENTO!$AF$11)))</f>
        <v>0</v>
      </c>
      <c r="N151" s="430">
        <f t="shared" ca="1" si="29"/>
        <v>0</v>
      </c>
      <c r="O151" s="154">
        <f ca="1">IF($A151="S",VTOTALBM,IF($A151=0,0,ROUND(SomaAgrupBM,15-13*ORÇAMENTO!$AF$11)))</f>
        <v>0</v>
      </c>
      <c r="Q151" s="431"/>
      <c r="R151" s="432"/>
      <c r="T151" s="146" t="str">
        <f t="shared" ca="1" si="30"/>
        <v/>
      </c>
      <c r="U151" s="206" t="str">
        <f t="shared" ca="1" si="31"/>
        <v/>
      </c>
      <c r="V151" s="207" t="str">
        <f t="shared" ca="1" si="32"/>
        <v/>
      </c>
      <c r="W151" s="595">
        <f ca="1">IF($Y151&gt;0,CHOOSE(MATCH(RegimeExecucao,{"Unitário","Global"},0),IF($A151="S",$Y151/$X151,""),($Y151/$X151)*100),0)</f>
        <v>0</v>
      </c>
      <c r="X151" s="433" t="str">
        <f ca="1">IF($Y151&gt;0,CHOOSE(MATCH(RegimeExecucao,{"Unitário","Global"},0),IF($A151="S",ROUND($H151,ORÇAMENTO!$AF$10),""),ROUND($I151,ORÇAMENTO!$AF$11)),"")</f>
        <v/>
      </c>
      <c r="Y151" s="433">
        <f t="shared" ca="1" si="33"/>
        <v>0</v>
      </c>
      <c r="Z151" s="434"/>
      <c r="AB151" s="431"/>
      <c r="AC151" s="569"/>
      <c r="AD151" s="569"/>
      <c r="AE151" s="569"/>
      <c r="AF151" s="569"/>
      <c r="AG151" s="569"/>
      <c r="AH151" s="569"/>
      <c r="AI151" s="569"/>
      <c r="AJ151" s="569"/>
      <c r="AK151" s="569"/>
      <c r="AL151" s="569"/>
      <c r="AM151" s="432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3" t="str">
        <f t="shared" ca="1" si="23"/>
        <v/>
      </c>
      <c r="D152" s="146" t="str">
        <f ca="1">ORÇAMENTO!O152</f>
        <v>-</v>
      </c>
      <c r="E152" s="206" t="str">
        <f t="shared" ca="1" si="24"/>
        <v>(abra o arquivo 'Referência 05-2023.xls)</v>
      </c>
      <c r="F152" s="207" t="str">
        <f t="shared" ca="1" si="25"/>
        <v>-</v>
      </c>
      <c r="G152" s="151">
        <f ca="1">IF(RegimeExecucao="Global","",ORÇAMENTO!T152)</f>
        <v>0</v>
      </c>
      <c r="H152" s="151">
        <f ca="1">IF(RegimeExecucao="Global","",ORÇAMENTO!W152)</f>
        <v>0</v>
      </c>
      <c r="I152" s="154">
        <f ca="1">ORÇAMENTO!X152</f>
        <v>0</v>
      </c>
      <c r="J152" s="427">
        <f t="shared" ca="1" si="26"/>
        <v>0</v>
      </c>
      <c r="K152" s="151">
        <f t="shared" ca="1" si="27"/>
        <v>0</v>
      </c>
      <c r="L152" s="428">
        <f t="shared" ca="1" si="28"/>
        <v>0</v>
      </c>
      <c r="M152" s="429">
        <f ca="1">IF($A152="S",VTOTALBM,IF($A152=0,0,ROUND(SomaAgrupBM,15-13*ORÇAMENTO!$AF$11)))</f>
        <v>0</v>
      </c>
      <c r="N152" s="430">
        <f t="shared" ca="1" si="29"/>
        <v>0</v>
      </c>
      <c r="O152" s="154">
        <f ca="1">IF($A152="S",VTOTALBM,IF($A152=0,0,ROUND(SomaAgrupBM,15-13*ORÇAMENTO!$AF$11)))</f>
        <v>0</v>
      </c>
      <c r="Q152" s="431"/>
      <c r="R152" s="432"/>
      <c r="T152" s="146" t="str">
        <f t="shared" ca="1" si="30"/>
        <v/>
      </c>
      <c r="U152" s="206" t="str">
        <f t="shared" ca="1" si="31"/>
        <v/>
      </c>
      <c r="V152" s="207" t="str">
        <f t="shared" ca="1" si="32"/>
        <v/>
      </c>
      <c r="W152" s="595">
        <f ca="1">IF($Y152&gt;0,CHOOSE(MATCH(RegimeExecucao,{"Unitário","Global"},0),IF($A152="S",$Y152/$X152,""),($Y152/$X152)*100),0)</f>
        <v>0</v>
      </c>
      <c r="X152" s="433" t="str">
        <f ca="1">IF($Y152&gt;0,CHOOSE(MATCH(RegimeExecucao,{"Unitário","Global"},0),IF($A152="S",ROUND($H152,ORÇAMENTO!$AF$10),""),ROUND($I152,ORÇAMENTO!$AF$11)),"")</f>
        <v/>
      </c>
      <c r="Y152" s="433">
        <f t="shared" ca="1" si="33"/>
        <v>0</v>
      </c>
      <c r="Z152" s="434"/>
      <c r="AB152" s="431"/>
      <c r="AC152" s="569"/>
      <c r="AD152" s="569"/>
      <c r="AE152" s="569"/>
      <c r="AF152" s="569"/>
      <c r="AG152" s="569"/>
      <c r="AH152" s="569"/>
      <c r="AI152" s="569"/>
      <c r="AJ152" s="569"/>
      <c r="AK152" s="569"/>
      <c r="AL152" s="569"/>
      <c r="AM152" s="432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3" t="str">
        <f t="shared" ca="1" si="23"/>
        <v/>
      </c>
      <c r="D153" s="146" t="str">
        <f ca="1">ORÇAMENTO!O153</f>
        <v>-</v>
      </c>
      <c r="E153" s="206" t="str">
        <f t="shared" ca="1" si="24"/>
        <v>(abra o arquivo 'Referência 05-2023.xls)</v>
      </c>
      <c r="F153" s="207" t="str">
        <f t="shared" ca="1" si="25"/>
        <v>-</v>
      </c>
      <c r="G153" s="151">
        <f ca="1">IF(RegimeExecucao="Global","",ORÇAMENTO!T153)</f>
        <v>0</v>
      </c>
      <c r="H153" s="151">
        <f ca="1">IF(RegimeExecucao="Global","",ORÇAMENTO!W153)</f>
        <v>0</v>
      </c>
      <c r="I153" s="154">
        <f ca="1">ORÇAMENTO!X153</f>
        <v>0</v>
      </c>
      <c r="J153" s="427">
        <f t="shared" ca="1" si="26"/>
        <v>0</v>
      </c>
      <c r="K153" s="151">
        <f t="shared" ca="1" si="27"/>
        <v>0</v>
      </c>
      <c r="L153" s="428">
        <f t="shared" ca="1" si="28"/>
        <v>0</v>
      </c>
      <c r="M153" s="429">
        <f ca="1">IF($A153="S",VTOTALBM,IF($A153=0,0,ROUND(SomaAgrupBM,15-13*ORÇAMENTO!$AF$11)))</f>
        <v>0</v>
      </c>
      <c r="N153" s="430">
        <f t="shared" ca="1" si="29"/>
        <v>0</v>
      </c>
      <c r="O153" s="154">
        <f ca="1">IF($A153="S",VTOTALBM,IF($A153=0,0,ROUND(SomaAgrupBM,15-13*ORÇAMENTO!$AF$11)))</f>
        <v>0</v>
      </c>
      <c r="Q153" s="431"/>
      <c r="R153" s="432"/>
      <c r="T153" s="146" t="str">
        <f t="shared" ca="1" si="30"/>
        <v/>
      </c>
      <c r="U153" s="206" t="str">
        <f t="shared" ca="1" si="31"/>
        <v/>
      </c>
      <c r="V153" s="207" t="str">
        <f t="shared" ca="1" si="32"/>
        <v/>
      </c>
      <c r="W153" s="595">
        <f ca="1">IF($Y153&gt;0,CHOOSE(MATCH(RegimeExecucao,{"Unitário","Global"},0),IF($A153="S",$Y153/$X153,""),($Y153/$X153)*100),0)</f>
        <v>0</v>
      </c>
      <c r="X153" s="433" t="str">
        <f ca="1">IF($Y153&gt;0,CHOOSE(MATCH(RegimeExecucao,{"Unitário","Global"},0),IF($A153="S",ROUND($H153,ORÇAMENTO!$AF$10),""),ROUND($I153,ORÇAMENTO!$AF$11)),"")</f>
        <v/>
      </c>
      <c r="Y153" s="433">
        <f t="shared" ca="1" si="33"/>
        <v>0</v>
      </c>
      <c r="Z153" s="434"/>
      <c r="AB153" s="431"/>
      <c r="AC153" s="569"/>
      <c r="AD153" s="569"/>
      <c r="AE153" s="569"/>
      <c r="AF153" s="569"/>
      <c r="AG153" s="569"/>
      <c r="AH153" s="569"/>
      <c r="AI153" s="569"/>
      <c r="AJ153" s="569"/>
      <c r="AK153" s="569"/>
      <c r="AL153" s="569"/>
      <c r="AM153" s="432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3" t="str">
        <f t="shared" ca="1" si="23"/>
        <v/>
      </c>
      <c r="D154" s="146" t="str">
        <f ca="1">ORÇAMENTO!O154</f>
        <v>-</v>
      </c>
      <c r="E154" s="206" t="str">
        <f t="shared" ca="1" si="24"/>
        <v>(abra o arquivo 'Referência 05-2023.xls)</v>
      </c>
      <c r="F154" s="207" t="str">
        <f t="shared" ca="1" si="25"/>
        <v>-</v>
      </c>
      <c r="G154" s="151">
        <f ca="1">IF(RegimeExecucao="Global","",ORÇAMENTO!T154)</f>
        <v>0</v>
      </c>
      <c r="H154" s="151">
        <f ca="1">IF(RegimeExecucao="Global","",ORÇAMENTO!W154)</f>
        <v>0</v>
      </c>
      <c r="I154" s="154">
        <f ca="1">ORÇAMENTO!X154</f>
        <v>0</v>
      </c>
      <c r="J154" s="427">
        <f t="shared" ca="1" si="26"/>
        <v>0</v>
      </c>
      <c r="K154" s="151">
        <f t="shared" ca="1" si="27"/>
        <v>0</v>
      </c>
      <c r="L154" s="428">
        <f t="shared" ca="1" si="28"/>
        <v>0</v>
      </c>
      <c r="M154" s="429">
        <f ca="1">IF($A154="S",VTOTALBM,IF($A154=0,0,ROUND(SomaAgrupBM,15-13*ORÇAMENTO!$AF$11)))</f>
        <v>0</v>
      </c>
      <c r="N154" s="430">
        <f t="shared" ca="1" si="29"/>
        <v>0</v>
      </c>
      <c r="O154" s="154">
        <f ca="1">IF($A154="S",VTOTALBM,IF($A154=0,0,ROUND(SomaAgrupBM,15-13*ORÇAMENTO!$AF$11)))</f>
        <v>0</v>
      </c>
      <c r="Q154" s="431"/>
      <c r="R154" s="432"/>
      <c r="T154" s="146" t="str">
        <f t="shared" ca="1" si="30"/>
        <v/>
      </c>
      <c r="U154" s="206" t="str">
        <f t="shared" ca="1" si="31"/>
        <v/>
      </c>
      <c r="V154" s="207" t="str">
        <f t="shared" ca="1" si="32"/>
        <v/>
      </c>
      <c r="W154" s="595">
        <f ca="1">IF($Y154&gt;0,CHOOSE(MATCH(RegimeExecucao,{"Unitário","Global"},0),IF($A154="S",$Y154/$X154,""),($Y154/$X154)*100),0)</f>
        <v>0</v>
      </c>
      <c r="X154" s="433" t="str">
        <f ca="1">IF($Y154&gt;0,CHOOSE(MATCH(RegimeExecucao,{"Unitário","Global"},0),IF($A154="S",ROUND($H154,ORÇAMENTO!$AF$10),""),ROUND($I154,ORÇAMENTO!$AF$11)),"")</f>
        <v/>
      </c>
      <c r="Y154" s="433">
        <f t="shared" ca="1" si="33"/>
        <v>0</v>
      </c>
      <c r="Z154" s="434"/>
      <c r="AB154" s="431"/>
      <c r="AC154" s="569"/>
      <c r="AD154" s="569"/>
      <c r="AE154" s="569"/>
      <c r="AF154" s="569"/>
      <c r="AG154" s="569"/>
      <c r="AH154" s="569"/>
      <c r="AI154" s="569"/>
      <c r="AJ154" s="569"/>
      <c r="AK154" s="569"/>
      <c r="AL154" s="569"/>
      <c r="AM154" s="432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3" t="str">
        <f t="shared" ca="1" si="23"/>
        <v/>
      </c>
      <c r="D155" s="146" t="str">
        <f ca="1">ORÇAMENTO!O155</f>
        <v>-</v>
      </c>
      <c r="E155" s="206" t="str">
        <f t="shared" ca="1" si="24"/>
        <v>(abra o arquivo 'Referência 05-2023.xls)</v>
      </c>
      <c r="F155" s="207" t="str">
        <f t="shared" ca="1" si="25"/>
        <v>-</v>
      </c>
      <c r="G155" s="151">
        <f ca="1">IF(RegimeExecucao="Global","",ORÇAMENTO!T155)</f>
        <v>0</v>
      </c>
      <c r="H155" s="151">
        <f ca="1">IF(RegimeExecucao="Global","",ORÇAMENTO!W155)</f>
        <v>0</v>
      </c>
      <c r="I155" s="154">
        <f ca="1">ORÇAMENTO!X155</f>
        <v>0</v>
      </c>
      <c r="J155" s="427">
        <f t="shared" ca="1" si="26"/>
        <v>0</v>
      </c>
      <c r="K155" s="151">
        <f t="shared" ca="1" si="27"/>
        <v>0</v>
      </c>
      <c r="L155" s="428">
        <f t="shared" ca="1" si="28"/>
        <v>0</v>
      </c>
      <c r="M155" s="429">
        <f ca="1">IF($A155="S",VTOTALBM,IF($A155=0,0,ROUND(SomaAgrupBM,15-13*ORÇAMENTO!$AF$11)))</f>
        <v>0</v>
      </c>
      <c r="N155" s="430">
        <f t="shared" ca="1" si="29"/>
        <v>0</v>
      </c>
      <c r="O155" s="154">
        <f ca="1">IF($A155="S",VTOTALBM,IF($A155=0,0,ROUND(SomaAgrupBM,15-13*ORÇAMENTO!$AF$11)))</f>
        <v>0</v>
      </c>
      <c r="Q155" s="431"/>
      <c r="R155" s="432"/>
      <c r="T155" s="146" t="str">
        <f t="shared" ca="1" si="30"/>
        <v/>
      </c>
      <c r="U155" s="206" t="str">
        <f t="shared" ca="1" si="31"/>
        <v/>
      </c>
      <c r="V155" s="207" t="str">
        <f t="shared" ca="1" si="32"/>
        <v/>
      </c>
      <c r="W155" s="595">
        <f ca="1">IF($Y155&gt;0,CHOOSE(MATCH(RegimeExecucao,{"Unitário","Global"},0),IF($A155="S",$Y155/$X155,""),($Y155/$X155)*100),0)</f>
        <v>0</v>
      </c>
      <c r="X155" s="433" t="str">
        <f ca="1">IF($Y155&gt;0,CHOOSE(MATCH(RegimeExecucao,{"Unitário","Global"},0),IF($A155="S",ROUND($H155,ORÇAMENTO!$AF$10),""),ROUND($I155,ORÇAMENTO!$AF$11)),"")</f>
        <v/>
      </c>
      <c r="Y155" s="433">
        <f t="shared" ca="1" si="33"/>
        <v>0</v>
      </c>
      <c r="Z155" s="434"/>
      <c r="AB155" s="431"/>
      <c r="AC155" s="569"/>
      <c r="AD155" s="569"/>
      <c r="AE155" s="569"/>
      <c r="AF155" s="569"/>
      <c r="AG155" s="569"/>
      <c r="AH155" s="569"/>
      <c r="AI155" s="569"/>
      <c r="AJ155" s="569"/>
      <c r="AK155" s="569"/>
      <c r="AL155" s="569"/>
      <c r="AM155" s="432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3" t="str">
        <f t="shared" ca="1" si="23"/>
        <v/>
      </c>
      <c r="D156" s="146" t="str">
        <f ca="1">ORÇAMENTO!O156</f>
        <v>-</v>
      </c>
      <c r="E156" s="206" t="str">
        <f t="shared" ca="1" si="24"/>
        <v>(abra o arquivo 'Referência 05-2023.xls)</v>
      </c>
      <c r="F156" s="207" t="str">
        <f t="shared" ca="1" si="25"/>
        <v>-</v>
      </c>
      <c r="G156" s="151">
        <f ca="1">IF(RegimeExecucao="Global","",ORÇAMENTO!T156)</f>
        <v>0</v>
      </c>
      <c r="H156" s="151">
        <f ca="1">IF(RegimeExecucao="Global","",ORÇAMENTO!W156)</f>
        <v>0</v>
      </c>
      <c r="I156" s="154">
        <f ca="1">ORÇAMENTO!X156</f>
        <v>0</v>
      </c>
      <c r="J156" s="427">
        <f t="shared" ca="1" si="26"/>
        <v>0</v>
      </c>
      <c r="K156" s="151">
        <f t="shared" ca="1" si="27"/>
        <v>0</v>
      </c>
      <c r="L156" s="428">
        <f t="shared" ca="1" si="28"/>
        <v>0</v>
      </c>
      <c r="M156" s="429">
        <f ca="1">IF($A156="S",VTOTALBM,IF($A156=0,0,ROUND(SomaAgrupBM,15-13*ORÇAMENTO!$AF$11)))</f>
        <v>0</v>
      </c>
      <c r="N156" s="430">
        <f t="shared" ca="1" si="29"/>
        <v>0</v>
      </c>
      <c r="O156" s="154">
        <f ca="1">IF($A156="S",VTOTALBM,IF($A156=0,0,ROUND(SomaAgrupBM,15-13*ORÇAMENTO!$AF$11)))</f>
        <v>0</v>
      </c>
      <c r="Q156" s="431"/>
      <c r="R156" s="432"/>
      <c r="T156" s="146" t="str">
        <f t="shared" ca="1" si="30"/>
        <v/>
      </c>
      <c r="U156" s="206" t="str">
        <f t="shared" ca="1" si="31"/>
        <v/>
      </c>
      <c r="V156" s="207" t="str">
        <f t="shared" ca="1" si="32"/>
        <v/>
      </c>
      <c r="W156" s="595">
        <f ca="1">IF($Y156&gt;0,CHOOSE(MATCH(RegimeExecucao,{"Unitário","Global"},0),IF($A156="S",$Y156/$X156,""),($Y156/$X156)*100),0)</f>
        <v>0</v>
      </c>
      <c r="X156" s="433" t="str">
        <f ca="1">IF($Y156&gt;0,CHOOSE(MATCH(RegimeExecucao,{"Unitário","Global"},0),IF($A156="S",ROUND($H156,ORÇAMENTO!$AF$10),""),ROUND($I156,ORÇAMENTO!$AF$11)),"")</f>
        <v/>
      </c>
      <c r="Y156" s="433">
        <f t="shared" ca="1" si="33"/>
        <v>0</v>
      </c>
      <c r="Z156" s="434"/>
      <c r="AB156" s="431"/>
      <c r="AC156" s="569"/>
      <c r="AD156" s="569"/>
      <c r="AE156" s="569"/>
      <c r="AF156" s="569"/>
      <c r="AG156" s="569"/>
      <c r="AH156" s="569"/>
      <c r="AI156" s="569"/>
      <c r="AJ156" s="569"/>
      <c r="AK156" s="569"/>
      <c r="AL156" s="569"/>
      <c r="AM156" s="432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3" t="str">
        <f t="shared" ca="1" si="23"/>
        <v/>
      </c>
      <c r="D157" s="146" t="str">
        <f ca="1">ORÇAMENTO!O157</f>
        <v>-</v>
      </c>
      <c r="E157" s="206" t="str">
        <f t="shared" ca="1" si="24"/>
        <v>(abra o arquivo 'Referência 05-2023.xls)</v>
      </c>
      <c r="F157" s="207" t="str">
        <f t="shared" ca="1" si="25"/>
        <v>-</v>
      </c>
      <c r="G157" s="151">
        <f ca="1">IF(RegimeExecucao="Global","",ORÇAMENTO!T157)</f>
        <v>0</v>
      </c>
      <c r="H157" s="151">
        <f ca="1">IF(RegimeExecucao="Global","",ORÇAMENTO!W157)</f>
        <v>0</v>
      </c>
      <c r="I157" s="154">
        <f ca="1">ORÇAMENTO!X157</f>
        <v>0</v>
      </c>
      <c r="J157" s="427">
        <f t="shared" ca="1" si="26"/>
        <v>0</v>
      </c>
      <c r="K157" s="151">
        <f t="shared" ca="1" si="27"/>
        <v>0</v>
      </c>
      <c r="L157" s="428">
        <f t="shared" ca="1" si="28"/>
        <v>0</v>
      </c>
      <c r="M157" s="429">
        <f ca="1">IF($A157="S",VTOTALBM,IF($A157=0,0,ROUND(SomaAgrupBM,15-13*ORÇAMENTO!$AF$11)))</f>
        <v>0</v>
      </c>
      <c r="N157" s="430">
        <f t="shared" ca="1" si="29"/>
        <v>0</v>
      </c>
      <c r="O157" s="154">
        <f ca="1">IF($A157="S",VTOTALBM,IF($A157=0,0,ROUND(SomaAgrupBM,15-13*ORÇAMENTO!$AF$11)))</f>
        <v>0</v>
      </c>
      <c r="Q157" s="431"/>
      <c r="R157" s="432"/>
      <c r="T157" s="146" t="str">
        <f t="shared" ca="1" si="30"/>
        <v/>
      </c>
      <c r="U157" s="206" t="str">
        <f t="shared" ca="1" si="31"/>
        <v/>
      </c>
      <c r="V157" s="207" t="str">
        <f t="shared" ca="1" si="32"/>
        <v/>
      </c>
      <c r="W157" s="595">
        <f ca="1">IF($Y157&gt;0,CHOOSE(MATCH(RegimeExecucao,{"Unitário","Global"},0),IF($A157="S",$Y157/$X157,""),($Y157/$X157)*100),0)</f>
        <v>0</v>
      </c>
      <c r="X157" s="433" t="str">
        <f ca="1">IF($Y157&gt;0,CHOOSE(MATCH(RegimeExecucao,{"Unitário","Global"},0),IF($A157="S",ROUND($H157,ORÇAMENTO!$AF$10),""),ROUND($I157,ORÇAMENTO!$AF$11)),"")</f>
        <v/>
      </c>
      <c r="Y157" s="433">
        <f t="shared" ca="1" si="33"/>
        <v>0</v>
      </c>
      <c r="Z157" s="434"/>
      <c r="AB157" s="431"/>
      <c r="AC157" s="569"/>
      <c r="AD157" s="569"/>
      <c r="AE157" s="569"/>
      <c r="AF157" s="569"/>
      <c r="AG157" s="569"/>
      <c r="AH157" s="569"/>
      <c r="AI157" s="569"/>
      <c r="AJ157" s="569"/>
      <c r="AK157" s="569"/>
      <c r="AL157" s="569"/>
      <c r="AM157" s="432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3" t="str">
        <f t="shared" ca="1" si="23"/>
        <v/>
      </c>
      <c r="D158" s="146" t="str">
        <f ca="1">ORÇAMENTO!O158</f>
        <v>-</v>
      </c>
      <c r="E158" s="206" t="str">
        <f t="shared" ca="1" si="24"/>
        <v>(abra o arquivo 'Referência 05-2023.xls)</v>
      </c>
      <c r="F158" s="207" t="str">
        <f t="shared" ca="1" si="25"/>
        <v>-</v>
      </c>
      <c r="G158" s="151">
        <f ca="1">IF(RegimeExecucao="Global","",ORÇAMENTO!T158)</f>
        <v>0</v>
      </c>
      <c r="H158" s="151">
        <f ca="1">IF(RegimeExecucao="Global","",ORÇAMENTO!W158)</f>
        <v>0</v>
      </c>
      <c r="I158" s="154">
        <f ca="1">ORÇAMENTO!X158</f>
        <v>0</v>
      </c>
      <c r="J158" s="427">
        <f t="shared" ca="1" si="26"/>
        <v>0</v>
      </c>
      <c r="K158" s="151">
        <f t="shared" ca="1" si="27"/>
        <v>0</v>
      </c>
      <c r="L158" s="428">
        <f t="shared" ca="1" si="28"/>
        <v>0</v>
      </c>
      <c r="M158" s="429">
        <f ca="1">IF($A158="S",VTOTALBM,IF($A158=0,0,ROUND(SomaAgrupBM,15-13*ORÇAMENTO!$AF$11)))</f>
        <v>0</v>
      </c>
      <c r="N158" s="430">
        <f t="shared" ca="1" si="29"/>
        <v>0</v>
      </c>
      <c r="O158" s="154">
        <f ca="1">IF($A158="S",VTOTALBM,IF($A158=0,0,ROUND(SomaAgrupBM,15-13*ORÇAMENTO!$AF$11)))</f>
        <v>0</v>
      </c>
      <c r="Q158" s="431"/>
      <c r="R158" s="432"/>
      <c r="T158" s="146" t="str">
        <f t="shared" ca="1" si="30"/>
        <v/>
      </c>
      <c r="U158" s="206" t="str">
        <f t="shared" ca="1" si="31"/>
        <v/>
      </c>
      <c r="V158" s="207" t="str">
        <f t="shared" ca="1" si="32"/>
        <v/>
      </c>
      <c r="W158" s="595">
        <f ca="1">IF($Y158&gt;0,CHOOSE(MATCH(RegimeExecucao,{"Unitário","Global"},0),IF($A158="S",$Y158/$X158,""),($Y158/$X158)*100),0)</f>
        <v>0</v>
      </c>
      <c r="X158" s="433" t="str">
        <f ca="1">IF($Y158&gt;0,CHOOSE(MATCH(RegimeExecucao,{"Unitário","Global"},0),IF($A158="S",ROUND($H158,ORÇAMENTO!$AF$10),""),ROUND($I158,ORÇAMENTO!$AF$11)),"")</f>
        <v/>
      </c>
      <c r="Y158" s="433">
        <f t="shared" ca="1" si="33"/>
        <v>0</v>
      </c>
      <c r="Z158" s="434"/>
      <c r="AB158" s="431"/>
      <c r="AC158" s="569"/>
      <c r="AD158" s="569"/>
      <c r="AE158" s="569"/>
      <c r="AF158" s="569"/>
      <c r="AG158" s="569"/>
      <c r="AH158" s="569"/>
      <c r="AI158" s="569"/>
      <c r="AJ158" s="569"/>
      <c r="AK158" s="569"/>
      <c r="AL158" s="569"/>
      <c r="AM158" s="432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3" t="str">
        <f t="shared" ca="1" si="23"/>
        <v/>
      </c>
      <c r="D159" s="146" t="str">
        <f ca="1">ORÇAMENTO!O159</f>
        <v>-</v>
      </c>
      <c r="E159" s="206" t="str">
        <f t="shared" ca="1" si="24"/>
        <v>(abra o arquivo 'Referência 05-2023.xls)</v>
      </c>
      <c r="F159" s="207" t="str">
        <f t="shared" ca="1" si="25"/>
        <v>-</v>
      </c>
      <c r="G159" s="151">
        <f ca="1">IF(RegimeExecucao="Global","",ORÇAMENTO!T159)</f>
        <v>0</v>
      </c>
      <c r="H159" s="151">
        <f ca="1">IF(RegimeExecucao="Global","",ORÇAMENTO!W159)</f>
        <v>0</v>
      </c>
      <c r="I159" s="154">
        <f ca="1">ORÇAMENTO!X159</f>
        <v>0</v>
      </c>
      <c r="J159" s="427">
        <f t="shared" ca="1" si="26"/>
        <v>0</v>
      </c>
      <c r="K159" s="151">
        <f t="shared" ca="1" si="27"/>
        <v>0</v>
      </c>
      <c r="L159" s="428">
        <f t="shared" ca="1" si="28"/>
        <v>0</v>
      </c>
      <c r="M159" s="429">
        <f ca="1">IF($A159="S",VTOTALBM,IF($A159=0,0,ROUND(SomaAgrupBM,15-13*ORÇAMENTO!$AF$11)))</f>
        <v>0</v>
      </c>
      <c r="N159" s="430">
        <f t="shared" ca="1" si="29"/>
        <v>0</v>
      </c>
      <c r="O159" s="154">
        <f ca="1">IF($A159="S",VTOTALBM,IF($A159=0,0,ROUND(SomaAgrupBM,15-13*ORÇAMENTO!$AF$11)))</f>
        <v>0</v>
      </c>
      <c r="Q159" s="431"/>
      <c r="R159" s="432"/>
      <c r="T159" s="146" t="str">
        <f t="shared" ca="1" si="30"/>
        <v/>
      </c>
      <c r="U159" s="206" t="str">
        <f t="shared" ca="1" si="31"/>
        <v/>
      </c>
      <c r="V159" s="207" t="str">
        <f t="shared" ca="1" si="32"/>
        <v/>
      </c>
      <c r="W159" s="595">
        <f ca="1">IF($Y159&gt;0,CHOOSE(MATCH(RegimeExecucao,{"Unitário","Global"},0),IF($A159="S",$Y159/$X159,""),($Y159/$X159)*100),0)</f>
        <v>0</v>
      </c>
      <c r="X159" s="433" t="str">
        <f ca="1">IF($Y159&gt;0,CHOOSE(MATCH(RegimeExecucao,{"Unitário","Global"},0),IF($A159="S",ROUND($H159,ORÇAMENTO!$AF$10),""),ROUND($I159,ORÇAMENTO!$AF$11)),"")</f>
        <v/>
      </c>
      <c r="Y159" s="433">
        <f t="shared" ca="1" si="33"/>
        <v>0</v>
      </c>
      <c r="Z159" s="434"/>
      <c r="AB159" s="431"/>
      <c r="AC159" s="569"/>
      <c r="AD159" s="569"/>
      <c r="AE159" s="569"/>
      <c r="AF159" s="569"/>
      <c r="AG159" s="569"/>
      <c r="AH159" s="569"/>
      <c r="AI159" s="569"/>
      <c r="AJ159" s="569"/>
      <c r="AK159" s="569"/>
      <c r="AL159" s="569"/>
      <c r="AM159" s="432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3" t="str">
        <f t="shared" ca="1" si="23"/>
        <v/>
      </c>
      <c r="D160" s="146" t="str">
        <f ca="1">ORÇAMENTO!O160</f>
        <v>-</v>
      </c>
      <c r="E160" s="206" t="str">
        <f t="shared" ca="1" si="24"/>
        <v>(abra o arquivo 'Referência 05-2023.xls)</v>
      </c>
      <c r="F160" s="207" t="str">
        <f t="shared" ca="1" si="25"/>
        <v>-</v>
      </c>
      <c r="G160" s="151">
        <f ca="1">IF(RegimeExecucao="Global","",ORÇAMENTO!T160)</f>
        <v>0</v>
      </c>
      <c r="H160" s="151">
        <f ca="1">IF(RegimeExecucao="Global","",ORÇAMENTO!W160)</f>
        <v>0</v>
      </c>
      <c r="I160" s="154">
        <f ca="1">ORÇAMENTO!X160</f>
        <v>0</v>
      </c>
      <c r="J160" s="427">
        <f t="shared" ca="1" si="26"/>
        <v>0</v>
      </c>
      <c r="K160" s="151">
        <f t="shared" ca="1" si="27"/>
        <v>0</v>
      </c>
      <c r="L160" s="428">
        <f t="shared" ca="1" si="28"/>
        <v>0</v>
      </c>
      <c r="M160" s="429">
        <f ca="1">IF($A160="S",VTOTALBM,IF($A160=0,0,ROUND(SomaAgrupBM,15-13*ORÇAMENTO!$AF$11)))</f>
        <v>0</v>
      </c>
      <c r="N160" s="430">
        <f t="shared" ca="1" si="29"/>
        <v>0</v>
      </c>
      <c r="O160" s="154">
        <f ca="1">IF($A160="S",VTOTALBM,IF($A160=0,0,ROUND(SomaAgrupBM,15-13*ORÇAMENTO!$AF$11)))</f>
        <v>0</v>
      </c>
      <c r="Q160" s="431"/>
      <c r="R160" s="432"/>
      <c r="T160" s="146" t="str">
        <f t="shared" ca="1" si="30"/>
        <v/>
      </c>
      <c r="U160" s="206" t="str">
        <f t="shared" ca="1" si="31"/>
        <v/>
      </c>
      <c r="V160" s="207" t="str">
        <f t="shared" ca="1" si="32"/>
        <v/>
      </c>
      <c r="W160" s="595">
        <f ca="1">IF($Y160&gt;0,CHOOSE(MATCH(RegimeExecucao,{"Unitário","Global"},0),IF($A160="S",$Y160/$X160,""),($Y160/$X160)*100),0)</f>
        <v>0</v>
      </c>
      <c r="X160" s="433" t="str">
        <f ca="1">IF($Y160&gt;0,CHOOSE(MATCH(RegimeExecucao,{"Unitário","Global"},0),IF($A160="S",ROUND($H160,ORÇAMENTO!$AF$10),""),ROUND($I160,ORÇAMENTO!$AF$11)),"")</f>
        <v/>
      </c>
      <c r="Y160" s="433">
        <f t="shared" ca="1" si="33"/>
        <v>0</v>
      </c>
      <c r="Z160" s="434"/>
      <c r="AB160" s="431"/>
      <c r="AC160" s="569"/>
      <c r="AD160" s="569"/>
      <c r="AE160" s="569"/>
      <c r="AF160" s="569"/>
      <c r="AG160" s="569"/>
      <c r="AH160" s="569"/>
      <c r="AI160" s="569"/>
      <c r="AJ160" s="569"/>
      <c r="AK160" s="569"/>
      <c r="AL160" s="569"/>
      <c r="AM160" s="432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3" t="str">
        <f t="shared" ca="1" si="23"/>
        <v/>
      </c>
      <c r="D161" s="146" t="str">
        <f ca="1">ORÇAMENTO!O161</f>
        <v>-</v>
      </c>
      <c r="E161" s="206" t="str">
        <f t="shared" ca="1" si="24"/>
        <v>(abra o arquivo 'Referência 05-2023.xls)</v>
      </c>
      <c r="F161" s="207" t="str">
        <f t="shared" ca="1" si="25"/>
        <v>-</v>
      </c>
      <c r="G161" s="151">
        <f ca="1">IF(RegimeExecucao="Global","",ORÇAMENTO!T161)</f>
        <v>0</v>
      </c>
      <c r="H161" s="151">
        <f ca="1">IF(RegimeExecucao="Global","",ORÇAMENTO!W161)</f>
        <v>0</v>
      </c>
      <c r="I161" s="154">
        <f ca="1">ORÇAMENTO!X161</f>
        <v>0</v>
      </c>
      <c r="J161" s="427">
        <f t="shared" ca="1" si="26"/>
        <v>0</v>
      </c>
      <c r="K161" s="151">
        <f t="shared" ca="1" si="27"/>
        <v>0</v>
      </c>
      <c r="L161" s="428">
        <f t="shared" ca="1" si="28"/>
        <v>0</v>
      </c>
      <c r="M161" s="429">
        <f ca="1">IF($A161="S",VTOTALBM,IF($A161=0,0,ROUND(SomaAgrupBM,15-13*ORÇAMENTO!$AF$11)))</f>
        <v>0</v>
      </c>
      <c r="N161" s="430">
        <f t="shared" ca="1" si="29"/>
        <v>0</v>
      </c>
      <c r="O161" s="154">
        <f ca="1">IF($A161="S",VTOTALBM,IF($A161=0,0,ROUND(SomaAgrupBM,15-13*ORÇAMENTO!$AF$11)))</f>
        <v>0</v>
      </c>
      <c r="Q161" s="431"/>
      <c r="R161" s="432"/>
      <c r="T161" s="146" t="str">
        <f t="shared" ca="1" si="30"/>
        <v/>
      </c>
      <c r="U161" s="206" t="str">
        <f t="shared" ca="1" si="31"/>
        <v/>
      </c>
      <c r="V161" s="207" t="str">
        <f t="shared" ca="1" si="32"/>
        <v/>
      </c>
      <c r="W161" s="595">
        <f ca="1">IF($Y161&gt;0,CHOOSE(MATCH(RegimeExecucao,{"Unitário","Global"},0),IF($A161="S",$Y161/$X161,""),($Y161/$X161)*100),0)</f>
        <v>0</v>
      </c>
      <c r="X161" s="433" t="str">
        <f ca="1">IF($Y161&gt;0,CHOOSE(MATCH(RegimeExecucao,{"Unitário","Global"},0),IF($A161="S",ROUND($H161,ORÇAMENTO!$AF$10),""),ROUND($I161,ORÇAMENTO!$AF$11)),"")</f>
        <v/>
      </c>
      <c r="Y161" s="433">
        <f t="shared" ca="1" si="33"/>
        <v>0</v>
      </c>
      <c r="Z161" s="434"/>
      <c r="AB161" s="431"/>
      <c r="AC161" s="569"/>
      <c r="AD161" s="569"/>
      <c r="AE161" s="569"/>
      <c r="AF161" s="569"/>
      <c r="AG161" s="569"/>
      <c r="AH161" s="569"/>
      <c r="AI161" s="569"/>
      <c r="AJ161" s="569"/>
      <c r="AK161" s="569"/>
      <c r="AL161" s="569"/>
      <c r="AM161" s="432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3" t="str">
        <f t="shared" ca="1" si="23"/>
        <v/>
      </c>
      <c r="D162" s="146" t="str">
        <f ca="1">ORÇAMENTO!O162</f>
        <v>-</v>
      </c>
      <c r="E162" s="206" t="str">
        <f t="shared" ca="1" si="24"/>
        <v>(abra o arquivo 'Referência 05-2023.xls)</v>
      </c>
      <c r="F162" s="207" t="str">
        <f t="shared" ca="1" si="25"/>
        <v>-</v>
      </c>
      <c r="G162" s="151">
        <f ca="1">IF(RegimeExecucao="Global","",ORÇAMENTO!T162)</f>
        <v>0</v>
      </c>
      <c r="H162" s="151">
        <f ca="1">IF(RegimeExecucao="Global","",ORÇAMENTO!W162)</f>
        <v>0</v>
      </c>
      <c r="I162" s="154">
        <f ca="1">ORÇAMENTO!X162</f>
        <v>0</v>
      </c>
      <c r="J162" s="427">
        <f t="shared" ca="1" si="26"/>
        <v>0</v>
      </c>
      <c r="K162" s="151">
        <f t="shared" ca="1" si="27"/>
        <v>0</v>
      </c>
      <c r="L162" s="428">
        <f t="shared" ca="1" si="28"/>
        <v>0</v>
      </c>
      <c r="M162" s="429">
        <f ca="1">IF($A162="S",VTOTALBM,IF($A162=0,0,ROUND(SomaAgrupBM,15-13*ORÇAMENTO!$AF$11)))</f>
        <v>0</v>
      </c>
      <c r="N162" s="430">
        <f t="shared" ca="1" si="29"/>
        <v>0</v>
      </c>
      <c r="O162" s="154">
        <f ca="1">IF($A162="S",VTOTALBM,IF($A162=0,0,ROUND(SomaAgrupBM,15-13*ORÇAMENTO!$AF$11)))</f>
        <v>0</v>
      </c>
      <c r="Q162" s="431"/>
      <c r="R162" s="432"/>
      <c r="T162" s="146" t="str">
        <f t="shared" ca="1" si="30"/>
        <v/>
      </c>
      <c r="U162" s="206" t="str">
        <f t="shared" ca="1" si="31"/>
        <v/>
      </c>
      <c r="V162" s="207" t="str">
        <f t="shared" ca="1" si="32"/>
        <v/>
      </c>
      <c r="W162" s="595">
        <f ca="1">IF($Y162&gt;0,CHOOSE(MATCH(RegimeExecucao,{"Unitário","Global"},0),IF($A162="S",$Y162/$X162,""),($Y162/$X162)*100),0)</f>
        <v>0</v>
      </c>
      <c r="X162" s="433" t="str">
        <f ca="1">IF($Y162&gt;0,CHOOSE(MATCH(RegimeExecucao,{"Unitário","Global"},0),IF($A162="S",ROUND($H162,ORÇAMENTO!$AF$10),""),ROUND($I162,ORÇAMENTO!$AF$11)),"")</f>
        <v/>
      </c>
      <c r="Y162" s="433">
        <f t="shared" ca="1" si="33"/>
        <v>0</v>
      </c>
      <c r="Z162" s="434"/>
      <c r="AB162" s="431"/>
      <c r="AC162" s="569"/>
      <c r="AD162" s="569"/>
      <c r="AE162" s="569"/>
      <c r="AF162" s="569"/>
      <c r="AG162" s="569"/>
      <c r="AH162" s="569"/>
      <c r="AI162" s="569"/>
      <c r="AJ162" s="569"/>
      <c r="AK162" s="569"/>
      <c r="AL162" s="569"/>
      <c r="AM162" s="432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3" t="str">
        <f t="shared" ca="1" si="23"/>
        <v/>
      </c>
      <c r="D163" s="146" t="str">
        <f ca="1">ORÇAMENTO!O163</f>
        <v>-</v>
      </c>
      <c r="E163" s="206" t="str">
        <f t="shared" ca="1" si="24"/>
        <v>(abra o arquivo 'Referência 05-2023.xls)</v>
      </c>
      <c r="F163" s="207" t="str">
        <f t="shared" ca="1" si="25"/>
        <v>-</v>
      </c>
      <c r="G163" s="151">
        <f ca="1">IF(RegimeExecucao="Global","",ORÇAMENTO!T163)</f>
        <v>0</v>
      </c>
      <c r="H163" s="151">
        <f ca="1">IF(RegimeExecucao="Global","",ORÇAMENTO!W163)</f>
        <v>0</v>
      </c>
      <c r="I163" s="154">
        <f ca="1">ORÇAMENTO!X163</f>
        <v>0</v>
      </c>
      <c r="J163" s="427">
        <f t="shared" ca="1" si="26"/>
        <v>0</v>
      </c>
      <c r="K163" s="151">
        <f t="shared" ca="1" si="27"/>
        <v>0</v>
      </c>
      <c r="L163" s="428">
        <f t="shared" ca="1" si="28"/>
        <v>0</v>
      </c>
      <c r="M163" s="429">
        <f ca="1">IF($A163="S",VTOTALBM,IF($A163=0,0,ROUND(SomaAgrupBM,15-13*ORÇAMENTO!$AF$11)))</f>
        <v>0</v>
      </c>
      <c r="N163" s="430">
        <f t="shared" ca="1" si="29"/>
        <v>0</v>
      </c>
      <c r="O163" s="154">
        <f ca="1">IF($A163="S",VTOTALBM,IF($A163=0,0,ROUND(SomaAgrupBM,15-13*ORÇAMENTO!$AF$11)))</f>
        <v>0</v>
      </c>
      <c r="Q163" s="431"/>
      <c r="R163" s="432"/>
      <c r="T163" s="146" t="str">
        <f t="shared" ca="1" si="30"/>
        <v/>
      </c>
      <c r="U163" s="206" t="str">
        <f t="shared" ca="1" si="31"/>
        <v/>
      </c>
      <c r="V163" s="207" t="str">
        <f t="shared" ca="1" si="32"/>
        <v/>
      </c>
      <c r="W163" s="595">
        <f ca="1">IF($Y163&gt;0,CHOOSE(MATCH(RegimeExecucao,{"Unitário","Global"},0),IF($A163="S",$Y163/$X163,""),($Y163/$X163)*100),0)</f>
        <v>0</v>
      </c>
      <c r="X163" s="433" t="str">
        <f ca="1">IF($Y163&gt;0,CHOOSE(MATCH(RegimeExecucao,{"Unitário","Global"},0),IF($A163="S",ROUND($H163,ORÇAMENTO!$AF$10),""),ROUND($I163,ORÇAMENTO!$AF$11)),"")</f>
        <v/>
      </c>
      <c r="Y163" s="433">
        <f t="shared" ca="1" si="33"/>
        <v>0</v>
      </c>
      <c r="Z163" s="434"/>
      <c r="AB163" s="431"/>
      <c r="AC163" s="569"/>
      <c r="AD163" s="569"/>
      <c r="AE163" s="569"/>
      <c r="AF163" s="569"/>
      <c r="AG163" s="569"/>
      <c r="AH163" s="569"/>
      <c r="AI163" s="569"/>
      <c r="AJ163" s="569"/>
      <c r="AK163" s="569"/>
      <c r="AL163" s="569"/>
      <c r="AM163" s="432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3" t="str">
        <f t="shared" ca="1" si="23"/>
        <v/>
      </c>
      <c r="D164" s="146" t="str">
        <f ca="1">ORÇAMENTO!O164</f>
        <v>-</v>
      </c>
      <c r="E164" s="206" t="str">
        <f t="shared" ca="1" si="24"/>
        <v>(abra o arquivo 'Referência 05-2023.xls)</v>
      </c>
      <c r="F164" s="207" t="str">
        <f t="shared" ca="1" si="25"/>
        <v>-</v>
      </c>
      <c r="G164" s="151">
        <f ca="1">IF(RegimeExecucao="Global","",ORÇAMENTO!T164)</f>
        <v>0</v>
      </c>
      <c r="H164" s="151">
        <f ca="1">IF(RegimeExecucao="Global","",ORÇAMENTO!W164)</f>
        <v>0</v>
      </c>
      <c r="I164" s="154">
        <f ca="1">ORÇAMENTO!X164</f>
        <v>0</v>
      </c>
      <c r="J164" s="427">
        <f t="shared" ca="1" si="26"/>
        <v>0</v>
      </c>
      <c r="K164" s="151">
        <f t="shared" ca="1" si="27"/>
        <v>0</v>
      </c>
      <c r="L164" s="428">
        <f t="shared" ca="1" si="28"/>
        <v>0</v>
      </c>
      <c r="M164" s="429">
        <f ca="1">IF($A164="S",VTOTALBM,IF($A164=0,0,ROUND(SomaAgrupBM,15-13*ORÇAMENTO!$AF$11)))</f>
        <v>0</v>
      </c>
      <c r="N164" s="430">
        <f t="shared" ca="1" si="29"/>
        <v>0</v>
      </c>
      <c r="O164" s="154">
        <f ca="1">IF($A164="S",VTOTALBM,IF($A164=0,0,ROUND(SomaAgrupBM,15-13*ORÇAMENTO!$AF$11)))</f>
        <v>0</v>
      </c>
      <c r="Q164" s="431"/>
      <c r="R164" s="432"/>
      <c r="T164" s="146" t="str">
        <f t="shared" ca="1" si="30"/>
        <v/>
      </c>
      <c r="U164" s="206" t="str">
        <f t="shared" ca="1" si="31"/>
        <v/>
      </c>
      <c r="V164" s="207" t="str">
        <f t="shared" ca="1" si="32"/>
        <v/>
      </c>
      <c r="W164" s="595">
        <f ca="1">IF($Y164&gt;0,CHOOSE(MATCH(RegimeExecucao,{"Unitário","Global"},0),IF($A164="S",$Y164/$X164,""),($Y164/$X164)*100),0)</f>
        <v>0</v>
      </c>
      <c r="X164" s="433" t="str">
        <f ca="1">IF($Y164&gt;0,CHOOSE(MATCH(RegimeExecucao,{"Unitário","Global"},0),IF($A164="S",ROUND($H164,ORÇAMENTO!$AF$10),""),ROUND($I164,ORÇAMENTO!$AF$11)),"")</f>
        <v/>
      </c>
      <c r="Y164" s="433">
        <f t="shared" ca="1" si="33"/>
        <v>0</v>
      </c>
      <c r="Z164" s="434"/>
      <c r="AB164" s="431"/>
      <c r="AC164" s="569"/>
      <c r="AD164" s="569"/>
      <c r="AE164" s="569"/>
      <c r="AF164" s="569"/>
      <c r="AG164" s="569"/>
      <c r="AH164" s="569"/>
      <c r="AI164" s="569"/>
      <c r="AJ164" s="569"/>
      <c r="AK164" s="569"/>
      <c r="AL164" s="569"/>
      <c r="AM164" s="432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3" t="str">
        <f t="shared" ca="1" si="23"/>
        <v/>
      </c>
      <c r="D165" s="146" t="str">
        <f ca="1">ORÇAMENTO!O165</f>
        <v>-</v>
      </c>
      <c r="E165" s="206" t="str">
        <f t="shared" ca="1" si="24"/>
        <v>(abra o arquivo 'Referência 05-2023.xls)</v>
      </c>
      <c r="F165" s="207" t="str">
        <f t="shared" ca="1" si="25"/>
        <v>-</v>
      </c>
      <c r="G165" s="151">
        <f ca="1">IF(RegimeExecucao="Global","",ORÇAMENTO!T165)</f>
        <v>0</v>
      </c>
      <c r="H165" s="151">
        <f ca="1">IF(RegimeExecucao="Global","",ORÇAMENTO!W165)</f>
        <v>0</v>
      </c>
      <c r="I165" s="154">
        <f ca="1">ORÇAMENTO!X165</f>
        <v>0</v>
      </c>
      <c r="J165" s="427">
        <f t="shared" ca="1" si="26"/>
        <v>0</v>
      </c>
      <c r="K165" s="151">
        <f t="shared" ca="1" si="27"/>
        <v>0</v>
      </c>
      <c r="L165" s="428">
        <f t="shared" ca="1" si="28"/>
        <v>0</v>
      </c>
      <c r="M165" s="429">
        <f ca="1">IF($A165="S",VTOTALBM,IF($A165=0,0,ROUND(SomaAgrupBM,15-13*ORÇAMENTO!$AF$11)))</f>
        <v>0</v>
      </c>
      <c r="N165" s="430">
        <f t="shared" ca="1" si="29"/>
        <v>0</v>
      </c>
      <c r="O165" s="154">
        <f ca="1">IF($A165="S",VTOTALBM,IF($A165=0,0,ROUND(SomaAgrupBM,15-13*ORÇAMENTO!$AF$11)))</f>
        <v>0</v>
      </c>
      <c r="Q165" s="431"/>
      <c r="R165" s="432"/>
      <c r="T165" s="146" t="str">
        <f t="shared" ca="1" si="30"/>
        <v/>
      </c>
      <c r="U165" s="206" t="str">
        <f t="shared" ca="1" si="31"/>
        <v/>
      </c>
      <c r="V165" s="207" t="str">
        <f t="shared" ca="1" si="32"/>
        <v/>
      </c>
      <c r="W165" s="595">
        <f ca="1">IF($Y165&gt;0,CHOOSE(MATCH(RegimeExecucao,{"Unitário","Global"},0),IF($A165="S",$Y165/$X165,""),($Y165/$X165)*100),0)</f>
        <v>0</v>
      </c>
      <c r="X165" s="433" t="str">
        <f ca="1">IF($Y165&gt;0,CHOOSE(MATCH(RegimeExecucao,{"Unitário","Global"},0),IF($A165="S",ROUND($H165,ORÇAMENTO!$AF$10),""),ROUND($I165,ORÇAMENTO!$AF$11)),"")</f>
        <v/>
      </c>
      <c r="Y165" s="433">
        <f t="shared" ca="1" si="33"/>
        <v>0</v>
      </c>
      <c r="Z165" s="434"/>
      <c r="AB165" s="431"/>
      <c r="AC165" s="569"/>
      <c r="AD165" s="569"/>
      <c r="AE165" s="569"/>
      <c r="AF165" s="569"/>
      <c r="AG165" s="569"/>
      <c r="AH165" s="569"/>
      <c r="AI165" s="569"/>
      <c r="AJ165" s="569"/>
      <c r="AK165" s="569"/>
      <c r="AL165" s="569"/>
      <c r="AM165" s="432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3" t="str">
        <f t="shared" ca="1" si="23"/>
        <v/>
      </c>
      <c r="D166" s="146" t="str">
        <f ca="1">ORÇAMENTO!O166</f>
        <v>-</v>
      </c>
      <c r="E166" s="206" t="str">
        <f t="shared" ca="1" si="24"/>
        <v>(abra o arquivo 'Referência 05-2023.xls)</v>
      </c>
      <c r="F166" s="207" t="str">
        <f t="shared" ca="1" si="25"/>
        <v>-</v>
      </c>
      <c r="G166" s="151">
        <f ca="1">IF(RegimeExecucao="Global","",ORÇAMENTO!T166)</f>
        <v>0</v>
      </c>
      <c r="H166" s="151">
        <f ca="1">IF(RegimeExecucao="Global","",ORÇAMENTO!W166)</f>
        <v>0</v>
      </c>
      <c r="I166" s="154">
        <f ca="1">ORÇAMENTO!X166</f>
        <v>0</v>
      </c>
      <c r="J166" s="427">
        <f t="shared" ca="1" si="26"/>
        <v>0</v>
      </c>
      <c r="K166" s="151">
        <f t="shared" ca="1" si="27"/>
        <v>0</v>
      </c>
      <c r="L166" s="428">
        <f t="shared" ca="1" si="28"/>
        <v>0</v>
      </c>
      <c r="M166" s="429">
        <f ca="1">IF($A166="S",VTOTALBM,IF($A166=0,0,ROUND(SomaAgrupBM,15-13*ORÇAMENTO!$AF$11)))</f>
        <v>0</v>
      </c>
      <c r="N166" s="430">
        <f t="shared" ca="1" si="29"/>
        <v>0</v>
      </c>
      <c r="O166" s="154">
        <f ca="1">IF($A166="S",VTOTALBM,IF($A166=0,0,ROUND(SomaAgrupBM,15-13*ORÇAMENTO!$AF$11)))</f>
        <v>0</v>
      </c>
      <c r="Q166" s="431"/>
      <c r="R166" s="432"/>
      <c r="T166" s="146" t="str">
        <f t="shared" ca="1" si="30"/>
        <v/>
      </c>
      <c r="U166" s="206" t="str">
        <f t="shared" ca="1" si="31"/>
        <v/>
      </c>
      <c r="V166" s="207" t="str">
        <f t="shared" ca="1" si="32"/>
        <v/>
      </c>
      <c r="W166" s="595">
        <f ca="1">IF($Y166&gt;0,CHOOSE(MATCH(RegimeExecucao,{"Unitário","Global"},0),IF($A166="S",$Y166/$X166,""),($Y166/$X166)*100),0)</f>
        <v>0</v>
      </c>
      <c r="X166" s="433" t="str">
        <f ca="1">IF($Y166&gt;0,CHOOSE(MATCH(RegimeExecucao,{"Unitário","Global"},0),IF($A166="S",ROUND($H166,ORÇAMENTO!$AF$10),""),ROUND($I166,ORÇAMENTO!$AF$11)),"")</f>
        <v/>
      </c>
      <c r="Y166" s="433">
        <f t="shared" ca="1" si="33"/>
        <v>0</v>
      </c>
      <c r="Z166" s="434"/>
      <c r="AB166" s="431"/>
      <c r="AC166" s="569"/>
      <c r="AD166" s="569"/>
      <c r="AE166" s="569"/>
      <c r="AF166" s="569"/>
      <c r="AG166" s="569"/>
      <c r="AH166" s="569"/>
      <c r="AI166" s="569"/>
      <c r="AJ166" s="569"/>
      <c r="AK166" s="569"/>
      <c r="AL166" s="569"/>
      <c r="AM166" s="432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3" t="str">
        <f t="shared" ca="1" si="23"/>
        <v/>
      </c>
      <c r="D167" s="146" t="str">
        <f ca="1">ORÇAMENTO!O167</f>
        <v>-</v>
      </c>
      <c r="E167" s="206" t="str">
        <f t="shared" ca="1" si="24"/>
        <v>(abra o arquivo 'Referência 05-2023.xls)</v>
      </c>
      <c r="F167" s="207" t="str">
        <f t="shared" ca="1" si="25"/>
        <v>-</v>
      </c>
      <c r="G167" s="151">
        <f ca="1">IF(RegimeExecucao="Global","",ORÇAMENTO!T167)</f>
        <v>0</v>
      </c>
      <c r="H167" s="151">
        <f ca="1">IF(RegimeExecucao="Global","",ORÇAMENTO!W167)</f>
        <v>0</v>
      </c>
      <c r="I167" s="154">
        <f ca="1">ORÇAMENTO!X167</f>
        <v>0</v>
      </c>
      <c r="J167" s="427">
        <f t="shared" ca="1" si="26"/>
        <v>0</v>
      </c>
      <c r="K167" s="151">
        <f t="shared" ca="1" si="27"/>
        <v>0</v>
      </c>
      <c r="L167" s="428">
        <f t="shared" ca="1" si="28"/>
        <v>0</v>
      </c>
      <c r="M167" s="429">
        <f ca="1">IF($A167="S",VTOTALBM,IF($A167=0,0,ROUND(SomaAgrupBM,15-13*ORÇAMENTO!$AF$11)))</f>
        <v>0</v>
      </c>
      <c r="N167" s="430">
        <f t="shared" ca="1" si="29"/>
        <v>0</v>
      </c>
      <c r="O167" s="154">
        <f ca="1">IF($A167="S",VTOTALBM,IF($A167=0,0,ROUND(SomaAgrupBM,15-13*ORÇAMENTO!$AF$11)))</f>
        <v>0</v>
      </c>
      <c r="Q167" s="431"/>
      <c r="R167" s="432"/>
      <c r="T167" s="146" t="str">
        <f t="shared" ca="1" si="30"/>
        <v/>
      </c>
      <c r="U167" s="206" t="str">
        <f t="shared" ca="1" si="31"/>
        <v/>
      </c>
      <c r="V167" s="207" t="str">
        <f t="shared" ca="1" si="32"/>
        <v/>
      </c>
      <c r="W167" s="595">
        <f ca="1">IF($Y167&gt;0,CHOOSE(MATCH(RegimeExecucao,{"Unitário","Global"},0),IF($A167="S",$Y167/$X167,""),($Y167/$X167)*100),0)</f>
        <v>0</v>
      </c>
      <c r="X167" s="433" t="str">
        <f ca="1">IF($Y167&gt;0,CHOOSE(MATCH(RegimeExecucao,{"Unitário","Global"},0),IF($A167="S",ROUND($H167,ORÇAMENTO!$AF$10),""),ROUND($I167,ORÇAMENTO!$AF$11)),"")</f>
        <v/>
      </c>
      <c r="Y167" s="433">
        <f t="shared" ca="1" si="33"/>
        <v>0</v>
      </c>
      <c r="Z167" s="434"/>
      <c r="AB167" s="431"/>
      <c r="AC167" s="569"/>
      <c r="AD167" s="569"/>
      <c r="AE167" s="569"/>
      <c r="AF167" s="569"/>
      <c r="AG167" s="569"/>
      <c r="AH167" s="569"/>
      <c r="AI167" s="569"/>
      <c r="AJ167" s="569"/>
      <c r="AK167" s="569"/>
      <c r="AL167" s="569"/>
      <c r="AM167" s="432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3" t="str">
        <f t="shared" ca="1" si="23"/>
        <v/>
      </c>
      <c r="D168" s="146" t="str">
        <f ca="1">ORÇAMENTO!O168</f>
        <v>-</v>
      </c>
      <c r="E168" s="206" t="str">
        <f t="shared" ca="1" si="24"/>
        <v>(abra o arquivo 'Referência 05-2023.xls)</v>
      </c>
      <c r="F168" s="207" t="str">
        <f t="shared" ca="1" si="25"/>
        <v>-</v>
      </c>
      <c r="G168" s="151">
        <f ca="1">IF(RegimeExecucao="Global","",ORÇAMENTO!T168)</f>
        <v>0</v>
      </c>
      <c r="H168" s="151">
        <f ca="1">IF(RegimeExecucao="Global","",ORÇAMENTO!W168)</f>
        <v>0</v>
      </c>
      <c r="I168" s="154">
        <f ca="1">ORÇAMENTO!X168</f>
        <v>0</v>
      </c>
      <c r="J168" s="427">
        <f t="shared" ca="1" si="26"/>
        <v>0</v>
      </c>
      <c r="K168" s="151">
        <f t="shared" ca="1" si="27"/>
        <v>0</v>
      </c>
      <c r="L168" s="428">
        <f t="shared" ca="1" si="28"/>
        <v>0</v>
      </c>
      <c r="M168" s="429">
        <f ca="1">IF($A168="S",VTOTALBM,IF($A168=0,0,ROUND(SomaAgrupBM,15-13*ORÇAMENTO!$AF$11)))</f>
        <v>0</v>
      </c>
      <c r="N168" s="430">
        <f t="shared" ca="1" si="29"/>
        <v>0</v>
      </c>
      <c r="O168" s="154">
        <f ca="1">IF($A168="S",VTOTALBM,IF($A168=0,0,ROUND(SomaAgrupBM,15-13*ORÇAMENTO!$AF$11)))</f>
        <v>0</v>
      </c>
      <c r="Q168" s="431"/>
      <c r="R168" s="432"/>
      <c r="T168" s="146" t="str">
        <f t="shared" ca="1" si="30"/>
        <v/>
      </c>
      <c r="U168" s="206" t="str">
        <f t="shared" ca="1" si="31"/>
        <v/>
      </c>
      <c r="V168" s="207" t="str">
        <f t="shared" ca="1" si="32"/>
        <v/>
      </c>
      <c r="W168" s="595">
        <f ca="1">IF($Y168&gt;0,CHOOSE(MATCH(RegimeExecucao,{"Unitário","Global"},0),IF($A168="S",$Y168/$X168,""),($Y168/$X168)*100),0)</f>
        <v>0</v>
      </c>
      <c r="X168" s="433" t="str">
        <f ca="1">IF($Y168&gt;0,CHOOSE(MATCH(RegimeExecucao,{"Unitário","Global"},0),IF($A168="S",ROUND($H168,ORÇAMENTO!$AF$10),""),ROUND($I168,ORÇAMENTO!$AF$11)),"")</f>
        <v/>
      </c>
      <c r="Y168" s="433">
        <f t="shared" ca="1" si="33"/>
        <v>0</v>
      </c>
      <c r="Z168" s="434"/>
      <c r="AB168" s="431"/>
      <c r="AC168" s="569"/>
      <c r="AD168" s="569"/>
      <c r="AE168" s="569"/>
      <c r="AF168" s="569"/>
      <c r="AG168" s="569"/>
      <c r="AH168" s="569"/>
      <c r="AI168" s="569"/>
      <c r="AJ168" s="569"/>
      <c r="AK168" s="569"/>
      <c r="AL168" s="569"/>
      <c r="AM168" s="432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3" t="str">
        <f t="shared" ca="1" si="23"/>
        <v/>
      </c>
      <c r="D169" s="146" t="str">
        <f ca="1">ORÇAMENTO!O169</f>
        <v>-</v>
      </c>
      <c r="E169" s="206" t="str">
        <f t="shared" ca="1" si="24"/>
        <v>(abra o arquivo 'Referência 05-2023.xls)</v>
      </c>
      <c r="F169" s="207" t="str">
        <f t="shared" ca="1" si="25"/>
        <v>-</v>
      </c>
      <c r="G169" s="151">
        <f ca="1">IF(RegimeExecucao="Global","",ORÇAMENTO!T169)</f>
        <v>0</v>
      </c>
      <c r="H169" s="151">
        <f ca="1">IF(RegimeExecucao="Global","",ORÇAMENTO!W169)</f>
        <v>0</v>
      </c>
      <c r="I169" s="154">
        <f ca="1">ORÇAMENTO!X169</f>
        <v>0</v>
      </c>
      <c r="J169" s="427">
        <f t="shared" ca="1" si="26"/>
        <v>0</v>
      </c>
      <c r="K169" s="151">
        <f t="shared" ca="1" si="27"/>
        <v>0</v>
      </c>
      <c r="L169" s="428">
        <f t="shared" ca="1" si="28"/>
        <v>0</v>
      </c>
      <c r="M169" s="429">
        <f ca="1">IF($A169="S",VTOTALBM,IF($A169=0,0,ROUND(SomaAgrupBM,15-13*ORÇAMENTO!$AF$11)))</f>
        <v>0</v>
      </c>
      <c r="N169" s="430">
        <f t="shared" ca="1" si="29"/>
        <v>0</v>
      </c>
      <c r="O169" s="154">
        <f ca="1">IF($A169="S",VTOTALBM,IF($A169=0,0,ROUND(SomaAgrupBM,15-13*ORÇAMENTO!$AF$11)))</f>
        <v>0</v>
      </c>
      <c r="Q169" s="431"/>
      <c r="R169" s="432"/>
      <c r="T169" s="146" t="str">
        <f t="shared" ca="1" si="30"/>
        <v/>
      </c>
      <c r="U169" s="206" t="str">
        <f t="shared" ca="1" si="31"/>
        <v/>
      </c>
      <c r="V169" s="207" t="str">
        <f t="shared" ca="1" si="32"/>
        <v/>
      </c>
      <c r="W169" s="595">
        <f ca="1">IF($Y169&gt;0,CHOOSE(MATCH(RegimeExecucao,{"Unitário","Global"},0),IF($A169="S",$Y169/$X169,""),($Y169/$X169)*100),0)</f>
        <v>0</v>
      </c>
      <c r="X169" s="433" t="str">
        <f ca="1">IF($Y169&gt;0,CHOOSE(MATCH(RegimeExecucao,{"Unitário","Global"},0),IF($A169="S",ROUND($H169,ORÇAMENTO!$AF$10),""),ROUND($I169,ORÇAMENTO!$AF$11)),"")</f>
        <v/>
      </c>
      <c r="Y169" s="433">
        <f t="shared" ca="1" si="33"/>
        <v>0</v>
      </c>
      <c r="Z169" s="434"/>
      <c r="AB169" s="431"/>
      <c r="AC169" s="569"/>
      <c r="AD169" s="569"/>
      <c r="AE169" s="569"/>
      <c r="AF169" s="569"/>
      <c r="AG169" s="569"/>
      <c r="AH169" s="569"/>
      <c r="AI169" s="569"/>
      <c r="AJ169" s="569"/>
      <c r="AK169" s="569"/>
      <c r="AL169" s="569"/>
      <c r="AM169" s="432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3" t="str">
        <f t="shared" ca="1" si="23"/>
        <v/>
      </c>
      <c r="D170" s="146" t="str">
        <f ca="1">ORÇAMENTO!O170</f>
        <v>-</v>
      </c>
      <c r="E170" s="206" t="str">
        <f t="shared" ca="1" si="24"/>
        <v>(abra o arquivo 'Referência 05-2023.xls)</v>
      </c>
      <c r="F170" s="207" t="str">
        <f t="shared" ca="1" si="25"/>
        <v>-</v>
      </c>
      <c r="G170" s="151">
        <f ca="1">IF(RegimeExecucao="Global","",ORÇAMENTO!T170)</f>
        <v>0</v>
      </c>
      <c r="H170" s="151">
        <f ca="1">IF(RegimeExecucao="Global","",ORÇAMENTO!W170)</f>
        <v>0</v>
      </c>
      <c r="I170" s="154">
        <f ca="1">ORÇAMENTO!X170</f>
        <v>0</v>
      </c>
      <c r="J170" s="427">
        <f t="shared" ca="1" si="26"/>
        <v>0</v>
      </c>
      <c r="K170" s="151">
        <f t="shared" ca="1" si="27"/>
        <v>0</v>
      </c>
      <c r="L170" s="428">
        <f t="shared" ca="1" si="28"/>
        <v>0</v>
      </c>
      <c r="M170" s="429">
        <f ca="1">IF($A170="S",VTOTALBM,IF($A170=0,0,ROUND(SomaAgrupBM,15-13*ORÇAMENTO!$AF$11)))</f>
        <v>0</v>
      </c>
      <c r="N170" s="430">
        <f t="shared" ca="1" si="29"/>
        <v>0</v>
      </c>
      <c r="O170" s="154">
        <f ca="1">IF($A170="S",VTOTALBM,IF($A170=0,0,ROUND(SomaAgrupBM,15-13*ORÇAMENTO!$AF$11)))</f>
        <v>0</v>
      </c>
      <c r="Q170" s="431"/>
      <c r="R170" s="432"/>
      <c r="T170" s="146" t="str">
        <f t="shared" ca="1" si="30"/>
        <v/>
      </c>
      <c r="U170" s="206" t="str">
        <f t="shared" ca="1" si="31"/>
        <v/>
      </c>
      <c r="V170" s="207" t="str">
        <f t="shared" ca="1" si="32"/>
        <v/>
      </c>
      <c r="W170" s="595">
        <f ca="1">IF($Y170&gt;0,CHOOSE(MATCH(RegimeExecucao,{"Unitário","Global"},0),IF($A170="S",$Y170/$X170,""),($Y170/$X170)*100),0)</f>
        <v>0</v>
      </c>
      <c r="X170" s="433" t="str">
        <f ca="1">IF($Y170&gt;0,CHOOSE(MATCH(RegimeExecucao,{"Unitário","Global"},0),IF($A170="S",ROUND($H170,ORÇAMENTO!$AF$10),""),ROUND($I170,ORÇAMENTO!$AF$11)),"")</f>
        <v/>
      </c>
      <c r="Y170" s="433">
        <f t="shared" ca="1" si="33"/>
        <v>0</v>
      </c>
      <c r="Z170" s="434"/>
      <c r="AB170" s="431"/>
      <c r="AC170" s="569"/>
      <c r="AD170" s="569"/>
      <c r="AE170" s="569"/>
      <c r="AF170" s="569"/>
      <c r="AG170" s="569"/>
      <c r="AH170" s="569"/>
      <c r="AI170" s="569"/>
      <c r="AJ170" s="569"/>
      <c r="AK170" s="569"/>
      <c r="AL170" s="569"/>
      <c r="AM170" s="432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3" t="str">
        <f t="shared" ca="1" si="23"/>
        <v/>
      </c>
      <c r="D171" s="146" t="str">
        <f ca="1">ORÇAMENTO!O171</f>
        <v>-</v>
      </c>
      <c r="E171" s="206" t="str">
        <f t="shared" ca="1" si="24"/>
        <v>(abra o arquivo 'Referência 05-2023.xls)</v>
      </c>
      <c r="F171" s="207" t="str">
        <f t="shared" ca="1" si="25"/>
        <v>-</v>
      </c>
      <c r="G171" s="151">
        <f ca="1">IF(RegimeExecucao="Global","",ORÇAMENTO!T171)</f>
        <v>0</v>
      </c>
      <c r="H171" s="151">
        <f ca="1">IF(RegimeExecucao="Global","",ORÇAMENTO!W171)</f>
        <v>0</v>
      </c>
      <c r="I171" s="154">
        <f ca="1">ORÇAMENTO!X171</f>
        <v>0</v>
      </c>
      <c r="J171" s="427">
        <f t="shared" ca="1" si="26"/>
        <v>0</v>
      </c>
      <c r="K171" s="151">
        <f t="shared" ca="1" si="27"/>
        <v>0</v>
      </c>
      <c r="L171" s="428">
        <f t="shared" ca="1" si="28"/>
        <v>0</v>
      </c>
      <c r="M171" s="429">
        <f ca="1">IF($A171="S",VTOTALBM,IF($A171=0,0,ROUND(SomaAgrupBM,15-13*ORÇAMENTO!$AF$11)))</f>
        <v>0</v>
      </c>
      <c r="N171" s="430">
        <f t="shared" ca="1" si="29"/>
        <v>0</v>
      </c>
      <c r="O171" s="154">
        <f ca="1">IF($A171="S",VTOTALBM,IF($A171=0,0,ROUND(SomaAgrupBM,15-13*ORÇAMENTO!$AF$11)))</f>
        <v>0</v>
      </c>
      <c r="Q171" s="431"/>
      <c r="R171" s="432"/>
      <c r="T171" s="146" t="str">
        <f t="shared" ca="1" si="30"/>
        <v/>
      </c>
      <c r="U171" s="206" t="str">
        <f t="shared" ca="1" si="31"/>
        <v/>
      </c>
      <c r="V171" s="207" t="str">
        <f t="shared" ca="1" si="32"/>
        <v/>
      </c>
      <c r="W171" s="595">
        <f ca="1">IF($Y171&gt;0,CHOOSE(MATCH(RegimeExecucao,{"Unitário","Global"},0),IF($A171="S",$Y171/$X171,""),($Y171/$X171)*100),0)</f>
        <v>0</v>
      </c>
      <c r="X171" s="433" t="str">
        <f ca="1">IF($Y171&gt;0,CHOOSE(MATCH(RegimeExecucao,{"Unitário","Global"},0),IF($A171="S",ROUND($H171,ORÇAMENTO!$AF$10),""),ROUND($I171,ORÇAMENTO!$AF$11)),"")</f>
        <v/>
      </c>
      <c r="Y171" s="433">
        <f t="shared" ca="1" si="33"/>
        <v>0</v>
      </c>
      <c r="Z171" s="434"/>
      <c r="AB171" s="431"/>
      <c r="AC171" s="569"/>
      <c r="AD171" s="569"/>
      <c r="AE171" s="569"/>
      <c r="AF171" s="569"/>
      <c r="AG171" s="569"/>
      <c r="AH171" s="569"/>
      <c r="AI171" s="569"/>
      <c r="AJ171" s="569"/>
      <c r="AK171" s="569"/>
      <c r="AL171" s="569"/>
      <c r="AM171" s="432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3" t="str">
        <f t="shared" ca="1" si="23"/>
        <v/>
      </c>
      <c r="D172" s="146" t="str">
        <f ca="1">ORÇAMENTO!O172</f>
        <v>-</v>
      </c>
      <c r="E172" s="206" t="str">
        <f t="shared" ca="1" si="24"/>
        <v>(abra o arquivo 'Referência 05-2023.xls)</v>
      </c>
      <c r="F172" s="207" t="str">
        <f t="shared" ca="1" si="25"/>
        <v>-</v>
      </c>
      <c r="G172" s="151">
        <f ca="1">IF(RegimeExecucao="Global","",ORÇAMENTO!T172)</f>
        <v>0</v>
      </c>
      <c r="H172" s="151">
        <f ca="1">IF(RegimeExecucao="Global","",ORÇAMENTO!W172)</f>
        <v>0</v>
      </c>
      <c r="I172" s="154">
        <f ca="1">ORÇAMENTO!X172</f>
        <v>0</v>
      </c>
      <c r="J172" s="427">
        <f t="shared" ca="1" si="26"/>
        <v>0</v>
      </c>
      <c r="K172" s="151">
        <f t="shared" ca="1" si="27"/>
        <v>0</v>
      </c>
      <c r="L172" s="428">
        <f t="shared" ca="1" si="28"/>
        <v>0</v>
      </c>
      <c r="M172" s="429">
        <f ca="1">IF($A172="S",VTOTALBM,IF($A172=0,0,ROUND(SomaAgrupBM,15-13*ORÇAMENTO!$AF$11)))</f>
        <v>0</v>
      </c>
      <c r="N172" s="430">
        <f t="shared" ca="1" si="29"/>
        <v>0</v>
      </c>
      <c r="O172" s="154">
        <f ca="1">IF($A172="S",VTOTALBM,IF($A172=0,0,ROUND(SomaAgrupBM,15-13*ORÇAMENTO!$AF$11)))</f>
        <v>0</v>
      </c>
      <c r="Q172" s="431"/>
      <c r="R172" s="432"/>
      <c r="T172" s="146" t="str">
        <f t="shared" ca="1" si="30"/>
        <v/>
      </c>
      <c r="U172" s="206" t="str">
        <f t="shared" ca="1" si="31"/>
        <v/>
      </c>
      <c r="V172" s="207" t="str">
        <f t="shared" ca="1" si="32"/>
        <v/>
      </c>
      <c r="W172" s="595">
        <f ca="1">IF($Y172&gt;0,CHOOSE(MATCH(RegimeExecucao,{"Unitário","Global"},0),IF($A172="S",$Y172/$X172,""),($Y172/$X172)*100),0)</f>
        <v>0</v>
      </c>
      <c r="X172" s="433" t="str">
        <f ca="1">IF($Y172&gt;0,CHOOSE(MATCH(RegimeExecucao,{"Unitário","Global"},0),IF($A172="S",ROUND($H172,ORÇAMENTO!$AF$10),""),ROUND($I172,ORÇAMENTO!$AF$11)),"")</f>
        <v/>
      </c>
      <c r="Y172" s="433">
        <f t="shared" ca="1" si="33"/>
        <v>0</v>
      </c>
      <c r="Z172" s="434"/>
      <c r="AB172" s="431"/>
      <c r="AC172" s="569"/>
      <c r="AD172" s="569"/>
      <c r="AE172" s="569"/>
      <c r="AF172" s="569"/>
      <c r="AG172" s="569"/>
      <c r="AH172" s="569"/>
      <c r="AI172" s="569"/>
      <c r="AJ172" s="569"/>
      <c r="AK172" s="569"/>
      <c r="AL172" s="569"/>
      <c r="AM172" s="432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3" t="str">
        <f t="shared" ca="1" si="23"/>
        <v/>
      </c>
      <c r="D173" s="146" t="str">
        <f ca="1">ORÇAMENTO!O173</f>
        <v>-</v>
      </c>
      <c r="E173" s="206" t="str">
        <f t="shared" ca="1" si="24"/>
        <v>(abra o arquivo 'Referência 05-2023.xls)</v>
      </c>
      <c r="F173" s="207" t="str">
        <f t="shared" ca="1" si="25"/>
        <v>-</v>
      </c>
      <c r="G173" s="151">
        <f ca="1">IF(RegimeExecucao="Global","",ORÇAMENTO!T173)</f>
        <v>0</v>
      </c>
      <c r="H173" s="151">
        <f ca="1">IF(RegimeExecucao="Global","",ORÇAMENTO!W173)</f>
        <v>0</v>
      </c>
      <c r="I173" s="154">
        <f ca="1">ORÇAMENTO!X173</f>
        <v>0</v>
      </c>
      <c r="J173" s="427">
        <f t="shared" ca="1" si="26"/>
        <v>0</v>
      </c>
      <c r="K173" s="151">
        <f t="shared" ca="1" si="27"/>
        <v>0</v>
      </c>
      <c r="L173" s="428">
        <f t="shared" ca="1" si="28"/>
        <v>0</v>
      </c>
      <c r="M173" s="429">
        <f ca="1">IF($A173="S",VTOTALBM,IF($A173=0,0,ROUND(SomaAgrupBM,15-13*ORÇAMENTO!$AF$11)))</f>
        <v>0</v>
      </c>
      <c r="N173" s="430">
        <f t="shared" ca="1" si="29"/>
        <v>0</v>
      </c>
      <c r="O173" s="154">
        <f ca="1">IF($A173="S",VTOTALBM,IF($A173=0,0,ROUND(SomaAgrupBM,15-13*ORÇAMENTO!$AF$11)))</f>
        <v>0</v>
      </c>
      <c r="Q173" s="431"/>
      <c r="R173" s="432"/>
      <c r="T173" s="146" t="str">
        <f t="shared" ca="1" si="30"/>
        <v/>
      </c>
      <c r="U173" s="206" t="str">
        <f t="shared" ca="1" si="31"/>
        <v/>
      </c>
      <c r="V173" s="207" t="str">
        <f t="shared" ca="1" si="32"/>
        <v/>
      </c>
      <c r="W173" s="595">
        <f ca="1">IF($Y173&gt;0,CHOOSE(MATCH(RegimeExecucao,{"Unitário","Global"},0),IF($A173="S",$Y173/$X173,""),($Y173/$X173)*100),0)</f>
        <v>0</v>
      </c>
      <c r="X173" s="433" t="str">
        <f ca="1">IF($Y173&gt;0,CHOOSE(MATCH(RegimeExecucao,{"Unitário","Global"},0),IF($A173="S",ROUND($H173,ORÇAMENTO!$AF$10),""),ROUND($I173,ORÇAMENTO!$AF$11)),"")</f>
        <v/>
      </c>
      <c r="Y173" s="433">
        <f t="shared" ca="1" si="33"/>
        <v>0</v>
      </c>
      <c r="Z173" s="434"/>
      <c r="AB173" s="431"/>
      <c r="AC173" s="569"/>
      <c r="AD173" s="569"/>
      <c r="AE173" s="569"/>
      <c r="AF173" s="569"/>
      <c r="AG173" s="569"/>
      <c r="AH173" s="569"/>
      <c r="AI173" s="569"/>
      <c r="AJ173" s="569"/>
      <c r="AK173" s="569"/>
      <c r="AL173" s="569"/>
      <c r="AM173" s="432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3" t="str">
        <f t="shared" ca="1" si="23"/>
        <v/>
      </c>
      <c r="D174" s="146" t="str">
        <f ca="1">ORÇAMENTO!O174</f>
        <v>-</v>
      </c>
      <c r="E174" s="206" t="str">
        <f t="shared" ca="1" si="24"/>
        <v>(abra o arquivo 'Referência 05-2023.xls)</v>
      </c>
      <c r="F174" s="207" t="str">
        <f t="shared" ca="1" si="25"/>
        <v>-</v>
      </c>
      <c r="G174" s="151">
        <f ca="1">IF(RegimeExecucao="Global","",ORÇAMENTO!T174)</f>
        <v>0</v>
      </c>
      <c r="H174" s="151">
        <f ca="1">IF(RegimeExecucao="Global","",ORÇAMENTO!W174)</f>
        <v>0</v>
      </c>
      <c r="I174" s="154">
        <f ca="1">ORÇAMENTO!X174</f>
        <v>0</v>
      </c>
      <c r="J174" s="427">
        <f t="shared" ca="1" si="26"/>
        <v>0</v>
      </c>
      <c r="K174" s="151">
        <f t="shared" ca="1" si="27"/>
        <v>0</v>
      </c>
      <c r="L174" s="428">
        <f t="shared" ca="1" si="28"/>
        <v>0</v>
      </c>
      <c r="M174" s="429">
        <f ca="1">IF($A174="S",VTOTALBM,IF($A174=0,0,ROUND(SomaAgrupBM,15-13*ORÇAMENTO!$AF$11)))</f>
        <v>0</v>
      </c>
      <c r="N174" s="430">
        <f t="shared" ca="1" si="29"/>
        <v>0</v>
      </c>
      <c r="O174" s="154">
        <f ca="1">IF($A174="S",VTOTALBM,IF($A174=0,0,ROUND(SomaAgrupBM,15-13*ORÇAMENTO!$AF$11)))</f>
        <v>0</v>
      </c>
      <c r="Q174" s="431"/>
      <c r="R174" s="432"/>
      <c r="T174" s="146" t="str">
        <f t="shared" ca="1" si="30"/>
        <v/>
      </c>
      <c r="U174" s="206" t="str">
        <f t="shared" ca="1" si="31"/>
        <v/>
      </c>
      <c r="V174" s="207" t="str">
        <f t="shared" ca="1" si="32"/>
        <v/>
      </c>
      <c r="W174" s="595">
        <f ca="1">IF($Y174&gt;0,CHOOSE(MATCH(RegimeExecucao,{"Unitário","Global"},0),IF($A174="S",$Y174/$X174,""),($Y174/$X174)*100),0)</f>
        <v>0</v>
      </c>
      <c r="X174" s="433" t="str">
        <f ca="1">IF($Y174&gt;0,CHOOSE(MATCH(RegimeExecucao,{"Unitário","Global"},0),IF($A174="S",ROUND($H174,ORÇAMENTO!$AF$10),""),ROUND($I174,ORÇAMENTO!$AF$11)),"")</f>
        <v/>
      </c>
      <c r="Y174" s="433">
        <f t="shared" ca="1" si="33"/>
        <v>0</v>
      </c>
      <c r="Z174" s="434"/>
      <c r="AB174" s="431"/>
      <c r="AC174" s="569"/>
      <c r="AD174" s="569"/>
      <c r="AE174" s="569"/>
      <c r="AF174" s="569"/>
      <c r="AG174" s="569"/>
      <c r="AH174" s="569"/>
      <c r="AI174" s="569"/>
      <c r="AJ174" s="569"/>
      <c r="AK174" s="569"/>
      <c r="AL174" s="569"/>
      <c r="AM174" s="432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3" t="str">
        <f t="shared" ca="1" si="23"/>
        <v/>
      </c>
      <c r="D175" s="146" t="str">
        <f ca="1">ORÇAMENTO!O175</f>
        <v>-</v>
      </c>
      <c r="E175" s="206" t="str">
        <f t="shared" ca="1" si="24"/>
        <v>(abra o arquivo 'Referência 05-2023.xls)</v>
      </c>
      <c r="F175" s="207" t="str">
        <f t="shared" ca="1" si="25"/>
        <v>-</v>
      </c>
      <c r="G175" s="151">
        <f ca="1">IF(RegimeExecucao="Global","",ORÇAMENTO!T175)</f>
        <v>0</v>
      </c>
      <c r="H175" s="151">
        <f ca="1">IF(RegimeExecucao="Global","",ORÇAMENTO!W175)</f>
        <v>0</v>
      </c>
      <c r="I175" s="154">
        <f ca="1">ORÇAMENTO!X175</f>
        <v>0</v>
      </c>
      <c r="J175" s="427">
        <f t="shared" ca="1" si="26"/>
        <v>0</v>
      </c>
      <c r="K175" s="151">
        <f t="shared" ca="1" si="27"/>
        <v>0</v>
      </c>
      <c r="L175" s="428">
        <f t="shared" ca="1" si="28"/>
        <v>0</v>
      </c>
      <c r="M175" s="429">
        <f ca="1">IF($A175="S",VTOTALBM,IF($A175=0,0,ROUND(SomaAgrupBM,15-13*ORÇAMENTO!$AF$11)))</f>
        <v>0</v>
      </c>
      <c r="N175" s="430">
        <f t="shared" ca="1" si="29"/>
        <v>0</v>
      </c>
      <c r="O175" s="154">
        <f ca="1">IF($A175="S",VTOTALBM,IF($A175=0,0,ROUND(SomaAgrupBM,15-13*ORÇAMENTO!$AF$11)))</f>
        <v>0</v>
      </c>
      <c r="Q175" s="431"/>
      <c r="R175" s="432"/>
      <c r="T175" s="146" t="str">
        <f t="shared" ca="1" si="30"/>
        <v/>
      </c>
      <c r="U175" s="206" t="str">
        <f t="shared" ca="1" si="31"/>
        <v/>
      </c>
      <c r="V175" s="207" t="str">
        <f t="shared" ca="1" si="32"/>
        <v/>
      </c>
      <c r="W175" s="595">
        <f ca="1">IF($Y175&gt;0,CHOOSE(MATCH(RegimeExecucao,{"Unitário","Global"},0),IF($A175="S",$Y175/$X175,""),($Y175/$X175)*100),0)</f>
        <v>0</v>
      </c>
      <c r="X175" s="433" t="str">
        <f ca="1">IF($Y175&gt;0,CHOOSE(MATCH(RegimeExecucao,{"Unitário","Global"},0),IF($A175="S",ROUND($H175,ORÇAMENTO!$AF$10),""),ROUND($I175,ORÇAMENTO!$AF$11)),"")</f>
        <v/>
      </c>
      <c r="Y175" s="433">
        <f t="shared" ca="1" si="33"/>
        <v>0</v>
      </c>
      <c r="Z175" s="434"/>
      <c r="AB175" s="431"/>
      <c r="AC175" s="569"/>
      <c r="AD175" s="569"/>
      <c r="AE175" s="569"/>
      <c r="AF175" s="569"/>
      <c r="AG175" s="569"/>
      <c r="AH175" s="569"/>
      <c r="AI175" s="569"/>
      <c r="AJ175" s="569"/>
      <c r="AK175" s="569"/>
      <c r="AL175" s="569"/>
      <c r="AM175" s="432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3" t="str">
        <f t="shared" ca="1" si="23"/>
        <v/>
      </c>
      <c r="D176" s="146" t="str">
        <f ca="1">ORÇAMENTO!O176</f>
        <v>-</v>
      </c>
      <c r="E176" s="206" t="str">
        <f t="shared" ca="1" si="24"/>
        <v>(abra o arquivo 'Referência 05-2023.xls)</v>
      </c>
      <c r="F176" s="207" t="str">
        <f t="shared" ca="1" si="25"/>
        <v>-</v>
      </c>
      <c r="G176" s="151">
        <f ca="1">IF(RegimeExecucao="Global","",ORÇAMENTO!T176)</f>
        <v>0</v>
      </c>
      <c r="H176" s="151">
        <f ca="1">IF(RegimeExecucao="Global","",ORÇAMENTO!W176)</f>
        <v>0</v>
      </c>
      <c r="I176" s="154">
        <f ca="1">ORÇAMENTO!X176</f>
        <v>0</v>
      </c>
      <c r="J176" s="427">
        <f t="shared" ca="1" si="26"/>
        <v>0</v>
      </c>
      <c r="K176" s="151">
        <f t="shared" ca="1" si="27"/>
        <v>0</v>
      </c>
      <c r="L176" s="428">
        <f t="shared" ca="1" si="28"/>
        <v>0</v>
      </c>
      <c r="M176" s="429">
        <f ca="1">IF($A176="S",VTOTALBM,IF($A176=0,0,ROUND(SomaAgrupBM,15-13*ORÇAMENTO!$AF$11)))</f>
        <v>0</v>
      </c>
      <c r="N176" s="430">
        <f t="shared" ca="1" si="29"/>
        <v>0</v>
      </c>
      <c r="O176" s="154">
        <f ca="1">IF($A176="S",VTOTALBM,IF($A176=0,0,ROUND(SomaAgrupBM,15-13*ORÇAMENTO!$AF$11)))</f>
        <v>0</v>
      </c>
      <c r="Q176" s="431"/>
      <c r="R176" s="432"/>
      <c r="T176" s="146" t="str">
        <f t="shared" ca="1" si="30"/>
        <v/>
      </c>
      <c r="U176" s="206" t="str">
        <f t="shared" ca="1" si="31"/>
        <v/>
      </c>
      <c r="V176" s="207" t="str">
        <f t="shared" ca="1" si="32"/>
        <v/>
      </c>
      <c r="W176" s="595">
        <f ca="1">IF($Y176&gt;0,CHOOSE(MATCH(RegimeExecucao,{"Unitário","Global"},0),IF($A176="S",$Y176/$X176,""),($Y176/$X176)*100),0)</f>
        <v>0</v>
      </c>
      <c r="X176" s="433" t="str">
        <f ca="1">IF($Y176&gt;0,CHOOSE(MATCH(RegimeExecucao,{"Unitário","Global"},0),IF($A176="S",ROUND($H176,ORÇAMENTO!$AF$10),""),ROUND($I176,ORÇAMENTO!$AF$11)),"")</f>
        <v/>
      </c>
      <c r="Y176" s="433">
        <f t="shared" ca="1" si="33"/>
        <v>0</v>
      </c>
      <c r="Z176" s="434"/>
      <c r="AB176" s="431"/>
      <c r="AC176" s="569"/>
      <c r="AD176" s="569"/>
      <c r="AE176" s="569"/>
      <c r="AF176" s="569"/>
      <c r="AG176" s="569"/>
      <c r="AH176" s="569"/>
      <c r="AI176" s="569"/>
      <c r="AJ176" s="569"/>
      <c r="AK176" s="569"/>
      <c r="AL176" s="569"/>
      <c r="AM176" s="432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3" t="str">
        <f t="shared" ca="1" si="23"/>
        <v/>
      </c>
      <c r="D177" s="146" t="str">
        <f ca="1">ORÇAMENTO!O177</f>
        <v>-</v>
      </c>
      <c r="E177" s="206" t="str">
        <f t="shared" ca="1" si="24"/>
        <v>(abra o arquivo 'Referência 05-2023.xls)</v>
      </c>
      <c r="F177" s="207" t="str">
        <f t="shared" ca="1" si="25"/>
        <v>-</v>
      </c>
      <c r="G177" s="151">
        <f ca="1">IF(RegimeExecucao="Global","",ORÇAMENTO!T177)</f>
        <v>0</v>
      </c>
      <c r="H177" s="151">
        <f ca="1">IF(RegimeExecucao="Global","",ORÇAMENTO!W177)</f>
        <v>0</v>
      </c>
      <c r="I177" s="154">
        <f ca="1">ORÇAMENTO!X177</f>
        <v>0</v>
      </c>
      <c r="J177" s="427">
        <f t="shared" ca="1" si="26"/>
        <v>0</v>
      </c>
      <c r="K177" s="151">
        <f t="shared" ca="1" si="27"/>
        <v>0</v>
      </c>
      <c r="L177" s="428">
        <f t="shared" ca="1" si="28"/>
        <v>0</v>
      </c>
      <c r="M177" s="429">
        <f ca="1">IF($A177="S",VTOTALBM,IF($A177=0,0,ROUND(SomaAgrupBM,15-13*ORÇAMENTO!$AF$11)))</f>
        <v>0</v>
      </c>
      <c r="N177" s="430">
        <f t="shared" ca="1" si="29"/>
        <v>0</v>
      </c>
      <c r="O177" s="154">
        <f ca="1">IF($A177="S",VTOTALBM,IF($A177=0,0,ROUND(SomaAgrupBM,15-13*ORÇAMENTO!$AF$11)))</f>
        <v>0</v>
      </c>
      <c r="Q177" s="431"/>
      <c r="R177" s="432"/>
      <c r="T177" s="146" t="str">
        <f t="shared" ca="1" si="30"/>
        <v/>
      </c>
      <c r="U177" s="206" t="str">
        <f t="shared" ca="1" si="31"/>
        <v/>
      </c>
      <c r="V177" s="207" t="str">
        <f t="shared" ca="1" si="32"/>
        <v/>
      </c>
      <c r="W177" s="595">
        <f ca="1">IF($Y177&gt;0,CHOOSE(MATCH(RegimeExecucao,{"Unitário","Global"},0),IF($A177="S",$Y177/$X177,""),($Y177/$X177)*100),0)</f>
        <v>0</v>
      </c>
      <c r="X177" s="433" t="str">
        <f ca="1">IF($Y177&gt;0,CHOOSE(MATCH(RegimeExecucao,{"Unitário","Global"},0),IF($A177="S",ROUND($H177,ORÇAMENTO!$AF$10),""),ROUND($I177,ORÇAMENTO!$AF$11)),"")</f>
        <v/>
      </c>
      <c r="Y177" s="433">
        <f t="shared" ca="1" si="33"/>
        <v>0</v>
      </c>
      <c r="Z177" s="434"/>
      <c r="AB177" s="431"/>
      <c r="AC177" s="569"/>
      <c r="AD177" s="569"/>
      <c r="AE177" s="569"/>
      <c r="AF177" s="569"/>
      <c r="AG177" s="569"/>
      <c r="AH177" s="569"/>
      <c r="AI177" s="569"/>
      <c r="AJ177" s="569"/>
      <c r="AK177" s="569"/>
      <c r="AL177" s="569"/>
      <c r="AM177" s="432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3" t="str">
        <f t="shared" ca="1" si="23"/>
        <v/>
      </c>
      <c r="D178" s="146" t="str">
        <f ca="1">ORÇAMENTO!O178</f>
        <v>-</v>
      </c>
      <c r="E178" s="206" t="str">
        <f t="shared" ca="1" si="24"/>
        <v>(abra o arquivo 'Referência 05-2023.xls)</v>
      </c>
      <c r="F178" s="207" t="str">
        <f t="shared" ca="1" si="25"/>
        <v>-</v>
      </c>
      <c r="G178" s="151">
        <f ca="1">IF(RegimeExecucao="Global","",ORÇAMENTO!T178)</f>
        <v>0</v>
      </c>
      <c r="H178" s="151">
        <f ca="1">IF(RegimeExecucao="Global","",ORÇAMENTO!W178)</f>
        <v>0</v>
      </c>
      <c r="I178" s="154">
        <f ca="1">ORÇAMENTO!X178</f>
        <v>0</v>
      </c>
      <c r="J178" s="427">
        <f t="shared" ca="1" si="26"/>
        <v>0</v>
      </c>
      <c r="K178" s="151">
        <f t="shared" ca="1" si="27"/>
        <v>0</v>
      </c>
      <c r="L178" s="428">
        <f t="shared" ca="1" si="28"/>
        <v>0</v>
      </c>
      <c r="M178" s="429">
        <f ca="1">IF($A178="S",VTOTALBM,IF($A178=0,0,ROUND(SomaAgrupBM,15-13*ORÇAMENTO!$AF$11)))</f>
        <v>0</v>
      </c>
      <c r="N178" s="430">
        <f t="shared" ca="1" si="29"/>
        <v>0</v>
      </c>
      <c r="O178" s="154">
        <f ca="1">IF($A178="S",VTOTALBM,IF($A178=0,0,ROUND(SomaAgrupBM,15-13*ORÇAMENTO!$AF$11)))</f>
        <v>0</v>
      </c>
      <c r="Q178" s="431"/>
      <c r="R178" s="432"/>
      <c r="T178" s="146" t="str">
        <f t="shared" ca="1" si="30"/>
        <v/>
      </c>
      <c r="U178" s="206" t="str">
        <f t="shared" ca="1" si="31"/>
        <v/>
      </c>
      <c r="V178" s="207" t="str">
        <f t="shared" ca="1" si="32"/>
        <v/>
      </c>
      <c r="W178" s="595">
        <f ca="1">IF($Y178&gt;0,CHOOSE(MATCH(RegimeExecucao,{"Unitário","Global"},0),IF($A178="S",$Y178/$X178,""),($Y178/$X178)*100),0)</f>
        <v>0</v>
      </c>
      <c r="X178" s="433" t="str">
        <f ca="1">IF($Y178&gt;0,CHOOSE(MATCH(RegimeExecucao,{"Unitário","Global"},0),IF($A178="S",ROUND($H178,ORÇAMENTO!$AF$10),""),ROUND($I178,ORÇAMENTO!$AF$11)),"")</f>
        <v/>
      </c>
      <c r="Y178" s="433">
        <f t="shared" ca="1" si="33"/>
        <v>0</v>
      </c>
      <c r="Z178" s="434"/>
      <c r="AB178" s="431"/>
      <c r="AC178" s="569"/>
      <c r="AD178" s="569"/>
      <c r="AE178" s="569"/>
      <c r="AF178" s="569"/>
      <c r="AG178" s="569"/>
      <c r="AH178" s="569"/>
      <c r="AI178" s="569"/>
      <c r="AJ178" s="569"/>
      <c r="AK178" s="569"/>
      <c r="AL178" s="569"/>
      <c r="AM178" s="432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3" t="str">
        <f t="shared" ca="1" si="23"/>
        <v/>
      </c>
      <c r="D179" s="146" t="str">
        <f ca="1">ORÇAMENTO!O179</f>
        <v>-</v>
      </c>
      <c r="E179" s="206" t="str">
        <f t="shared" ca="1" si="24"/>
        <v>(abra o arquivo 'Referência 05-2023.xls)</v>
      </c>
      <c r="F179" s="207" t="str">
        <f t="shared" ca="1" si="25"/>
        <v>-</v>
      </c>
      <c r="G179" s="151">
        <f ca="1">IF(RegimeExecucao="Global","",ORÇAMENTO!T179)</f>
        <v>0</v>
      </c>
      <c r="H179" s="151">
        <f ca="1">IF(RegimeExecucao="Global","",ORÇAMENTO!W179)</f>
        <v>0</v>
      </c>
      <c r="I179" s="154">
        <f ca="1">ORÇAMENTO!X179</f>
        <v>0</v>
      </c>
      <c r="J179" s="427">
        <f t="shared" ca="1" si="26"/>
        <v>0</v>
      </c>
      <c r="K179" s="151">
        <f t="shared" ca="1" si="27"/>
        <v>0</v>
      </c>
      <c r="L179" s="428">
        <f t="shared" ca="1" si="28"/>
        <v>0</v>
      </c>
      <c r="M179" s="429">
        <f ca="1">IF($A179="S",VTOTALBM,IF($A179=0,0,ROUND(SomaAgrupBM,15-13*ORÇAMENTO!$AF$11)))</f>
        <v>0</v>
      </c>
      <c r="N179" s="430">
        <f t="shared" ca="1" si="29"/>
        <v>0</v>
      </c>
      <c r="O179" s="154">
        <f ca="1">IF($A179="S",VTOTALBM,IF($A179=0,0,ROUND(SomaAgrupBM,15-13*ORÇAMENTO!$AF$11)))</f>
        <v>0</v>
      </c>
      <c r="Q179" s="431"/>
      <c r="R179" s="432"/>
      <c r="T179" s="146" t="str">
        <f t="shared" ca="1" si="30"/>
        <v/>
      </c>
      <c r="U179" s="206" t="str">
        <f t="shared" ca="1" si="31"/>
        <v/>
      </c>
      <c r="V179" s="207" t="str">
        <f t="shared" ca="1" si="32"/>
        <v/>
      </c>
      <c r="W179" s="595">
        <f ca="1">IF($Y179&gt;0,CHOOSE(MATCH(RegimeExecucao,{"Unitário","Global"},0),IF($A179="S",$Y179/$X179,""),($Y179/$X179)*100),0)</f>
        <v>0</v>
      </c>
      <c r="X179" s="433" t="str">
        <f ca="1">IF($Y179&gt;0,CHOOSE(MATCH(RegimeExecucao,{"Unitário","Global"},0),IF($A179="S",ROUND($H179,ORÇAMENTO!$AF$10),""),ROUND($I179,ORÇAMENTO!$AF$11)),"")</f>
        <v/>
      </c>
      <c r="Y179" s="433">
        <f t="shared" ca="1" si="33"/>
        <v>0</v>
      </c>
      <c r="Z179" s="434"/>
      <c r="AB179" s="431"/>
      <c r="AC179" s="569"/>
      <c r="AD179" s="569"/>
      <c r="AE179" s="569"/>
      <c r="AF179" s="569"/>
      <c r="AG179" s="569"/>
      <c r="AH179" s="569"/>
      <c r="AI179" s="569"/>
      <c r="AJ179" s="569"/>
      <c r="AK179" s="569"/>
      <c r="AL179" s="569"/>
      <c r="AM179" s="432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3" t="str">
        <f t="shared" ca="1" si="23"/>
        <v/>
      </c>
      <c r="D180" s="146" t="str">
        <f ca="1">ORÇAMENTO!O180</f>
        <v>-</v>
      </c>
      <c r="E180" s="206" t="str">
        <f t="shared" ca="1" si="24"/>
        <v>(abra o arquivo 'Referência 05-2023.xls)</v>
      </c>
      <c r="F180" s="207" t="str">
        <f t="shared" ca="1" si="25"/>
        <v>-</v>
      </c>
      <c r="G180" s="151">
        <f ca="1">IF(RegimeExecucao="Global","",ORÇAMENTO!T180)</f>
        <v>0</v>
      </c>
      <c r="H180" s="151">
        <f ca="1">IF(RegimeExecucao="Global","",ORÇAMENTO!W180)</f>
        <v>0</v>
      </c>
      <c r="I180" s="154">
        <f ca="1">ORÇAMENTO!X180</f>
        <v>0</v>
      </c>
      <c r="J180" s="427">
        <f t="shared" ca="1" si="26"/>
        <v>0</v>
      </c>
      <c r="K180" s="151">
        <f t="shared" ca="1" si="27"/>
        <v>0</v>
      </c>
      <c r="L180" s="428">
        <f t="shared" ca="1" si="28"/>
        <v>0</v>
      </c>
      <c r="M180" s="429">
        <f ca="1">IF($A180="S",VTOTALBM,IF($A180=0,0,ROUND(SomaAgrupBM,15-13*ORÇAMENTO!$AF$11)))</f>
        <v>0</v>
      </c>
      <c r="N180" s="430">
        <f t="shared" ca="1" si="29"/>
        <v>0</v>
      </c>
      <c r="O180" s="154">
        <f ca="1">IF($A180="S",VTOTALBM,IF($A180=0,0,ROUND(SomaAgrupBM,15-13*ORÇAMENTO!$AF$11)))</f>
        <v>0</v>
      </c>
      <c r="Q180" s="431"/>
      <c r="R180" s="432"/>
      <c r="T180" s="146" t="str">
        <f t="shared" ca="1" si="30"/>
        <v/>
      </c>
      <c r="U180" s="206" t="str">
        <f t="shared" ca="1" si="31"/>
        <v/>
      </c>
      <c r="V180" s="207" t="str">
        <f t="shared" ca="1" si="32"/>
        <v/>
      </c>
      <c r="W180" s="595">
        <f ca="1">IF($Y180&gt;0,CHOOSE(MATCH(RegimeExecucao,{"Unitário","Global"},0),IF($A180="S",$Y180/$X180,""),($Y180/$X180)*100),0)</f>
        <v>0</v>
      </c>
      <c r="X180" s="433" t="str">
        <f ca="1">IF($Y180&gt;0,CHOOSE(MATCH(RegimeExecucao,{"Unitário","Global"},0),IF($A180="S",ROUND($H180,ORÇAMENTO!$AF$10),""),ROUND($I180,ORÇAMENTO!$AF$11)),"")</f>
        <v/>
      </c>
      <c r="Y180" s="433">
        <f t="shared" ca="1" si="33"/>
        <v>0</v>
      </c>
      <c r="Z180" s="434"/>
      <c r="AB180" s="431"/>
      <c r="AC180" s="569"/>
      <c r="AD180" s="569"/>
      <c r="AE180" s="569"/>
      <c r="AF180" s="569"/>
      <c r="AG180" s="569"/>
      <c r="AH180" s="569"/>
      <c r="AI180" s="569"/>
      <c r="AJ180" s="569"/>
      <c r="AK180" s="569"/>
      <c r="AL180" s="569"/>
      <c r="AM180" s="432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3" t="str">
        <f t="shared" ca="1" si="23"/>
        <v/>
      </c>
      <c r="D181" s="146" t="str">
        <f ca="1">ORÇAMENTO!O181</f>
        <v>-</v>
      </c>
      <c r="E181" s="206" t="str">
        <f t="shared" ca="1" si="24"/>
        <v>(abra o arquivo 'Referência 05-2023.xls)</v>
      </c>
      <c r="F181" s="207" t="str">
        <f t="shared" ca="1" si="25"/>
        <v>-</v>
      </c>
      <c r="G181" s="151">
        <f ca="1">IF(RegimeExecucao="Global","",ORÇAMENTO!T181)</f>
        <v>0</v>
      </c>
      <c r="H181" s="151">
        <f ca="1">IF(RegimeExecucao="Global","",ORÇAMENTO!W181)</f>
        <v>0</v>
      </c>
      <c r="I181" s="154">
        <f ca="1">ORÇAMENTO!X181</f>
        <v>0</v>
      </c>
      <c r="J181" s="427">
        <f t="shared" ca="1" si="26"/>
        <v>0</v>
      </c>
      <c r="K181" s="151">
        <f t="shared" ca="1" si="27"/>
        <v>0</v>
      </c>
      <c r="L181" s="428">
        <f t="shared" ca="1" si="28"/>
        <v>0</v>
      </c>
      <c r="M181" s="429">
        <f ca="1">IF($A181="S",VTOTALBM,IF($A181=0,0,ROUND(SomaAgrupBM,15-13*ORÇAMENTO!$AF$11)))</f>
        <v>0</v>
      </c>
      <c r="N181" s="430">
        <f t="shared" ca="1" si="29"/>
        <v>0</v>
      </c>
      <c r="O181" s="154">
        <f ca="1">IF($A181="S",VTOTALBM,IF($A181=0,0,ROUND(SomaAgrupBM,15-13*ORÇAMENTO!$AF$11)))</f>
        <v>0</v>
      </c>
      <c r="Q181" s="431"/>
      <c r="R181" s="432"/>
      <c r="T181" s="146" t="str">
        <f t="shared" ca="1" si="30"/>
        <v/>
      </c>
      <c r="U181" s="206" t="str">
        <f t="shared" ca="1" si="31"/>
        <v/>
      </c>
      <c r="V181" s="207" t="str">
        <f t="shared" ca="1" si="32"/>
        <v/>
      </c>
      <c r="W181" s="595">
        <f ca="1">IF($Y181&gt;0,CHOOSE(MATCH(RegimeExecucao,{"Unitário","Global"},0),IF($A181="S",$Y181/$X181,""),($Y181/$X181)*100),0)</f>
        <v>0</v>
      </c>
      <c r="X181" s="433" t="str">
        <f ca="1">IF($Y181&gt;0,CHOOSE(MATCH(RegimeExecucao,{"Unitário","Global"},0),IF($A181="S",ROUND($H181,ORÇAMENTO!$AF$10),""),ROUND($I181,ORÇAMENTO!$AF$11)),"")</f>
        <v/>
      </c>
      <c r="Y181" s="433">
        <f t="shared" ca="1" si="33"/>
        <v>0</v>
      </c>
      <c r="Z181" s="434"/>
      <c r="AB181" s="431"/>
      <c r="AC181" s="569"/>
      <c r="AD181" s="569"/>
      <c r="AE181" s="569"/>
      <c r="AF181" s="569"/>
      <c r="AG181" s="569"/>
      <c r="AH181" s="569"/>
      <c r="AI181" s="569"/>
      <c r="AJ181" s="569"/>
      <c r="AK181" s="569"/>
      <c r="AL181" s="569"/>
      <c r="AM181" s="432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3" t="str">
        <f t="shared" ca="1" si="23"/>
        <v/>
      </c>
      <c r="D182" s="146" t="str">
        <f ca="1">ORÇAMENTO!O182</f>
        <v>-</v>
      </c>
      <c r="E182" s="206" t="str">
        <f t="shared" ca="1" si="24"/>
        <v>(abra o arquivo 'Referência 05-2023.xls)</v>
      </c>
      <c r="F182" s="207" t="str">
        <f t="shared" ca="1" si="25"/>
        <v>-</v>
      </c>
      <c r="G182" s="151">
        <f ca="1">IF(RegimeExecucao="Global","",ORÇAMENTO!T182)</f>
        <v>0</v>
      </c>
      <c r="H182" s="151">
        <f ca="1">IF(RegimeExecucao="Global","",ORÇAMENTO!W182)</f>
        <v>0</v>
      </c>
      <c r="I182" s="154">
        <f ca="1">ORÇAMENTO!X182</f>
        <v>0</v>
      </c>
      <c r="J182" s="427">
        <f t="shared" ca="1" si="26"/>
        <v>0</v>
      </c>
      <c r="K182" s="151">
        <f t="shared" ca="1" si="27"/>
        <v>0</v>
      </c>
      <c r="L182" s="428">
        <f t="shared" ca="1" si="28"/>
        <v>0</v>
      </c>
      <c r="M182" s="429">
        <f ca="1">IF($A182="S",VTOTALBM,IF($A182=0,0,ROUND(SomaAgrupBM,15-13*ORÇAMENTO!$AF$11)))</f>
        <v>0</v>
      </c>
      <c r="N182" s="430">
        <f t="shared" ca="1" si="29"/>
        <v>0</v>
      </c>
      <c r="O182" s="154">
        <f ca="1">IF($A182="S",VTOTALBM,IF($A182=0,0,ROUND(SomaAgrupBM,15-13*ORÇAMENTO!$AF$11)))</f>
        <v>0</v>
      </c>
      <c r="Q182" s="431"/>
      <c r="R182" s="432"/>
      <c r="T182" s="146" t="str">
        <f t="shared" ca="1" si="30"/>
        <v/>
      </c>
      <c r="U182" s="206" t="str">
        <f t="shared" ca="1" si="31"/>
        <v/>
      </c>
      <c r="V182" s="207" t="str">
        <f t="shared" ca="1" si="32"/>
        <v/>
      </c>
      <c r="W182" s="595">
        <f ca="1">IF($Y182&gt;0,CHOOSE(MATCH(RegimeExecucao,{"Unitário","Global"},0),IF($A182="S",$Y182/$X182,""),($Y182/$X182)*100),0)</f>
        <v>0</v>
      </c>
      <c r="X182" s="433" t="str">
        <f ca="1">IF($Y182&gt;0,CHOOSE(MATCH(RegimeExecucao,{"Unitário","Global"},0),IF($A182="S",ROUND($H182,ORÇAMENTO!$AF$10),""),ROUND($I182,ORÇAMENTO!$AF$11)),"")</f>
        <v/>
      </c>
      <c r="Y182" s="433">
        <f t="shared" ca="1" si="33"/>
        <v>0</v>
      </c>
      <c r="Z182" s="434"/>
      <c r="AB182" s="431"/>
      <c r="AC182" s="569"/>
      <c r="AD182" s="569"/>
      <c r="AE182" s="569"/>
      <c r="AF182" s="569"/>
      <c r="AG182" s="569"/>
      <c r="AH182" s="569"/>
      <c r="AI182" s="569"/>
      <c r="AJ182" s="569"/>
      <c r="AK182" s="569"/>
      <c r="AL182" s="569"/>
      <c r="AM182" s="432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3" t="str">
        <f t="shared" ca="1" si="23"/>
        <v/>
      </c>
      <c r="D183" s="146" t="str">
        <f ca="1">ORÇAMENTO!O183</f>
        <v>-</v>
      </c>
      <c r="E183" s="206" t="str">
        <f t="shared" ca="1" si="24"/>
        <v>(abra o arquivo 'Referência 05-2023.xls)</v>
      </c>
      <c r="F183" s="207" t="str">
        <f t="shared" ca="1" si="25"/>
        <v>-</v>
      </c>
      <c r="G183" s="151">
        <f ca="1">IF(RegimeExecucao="Global","",ORÇAMENTO!T183)</f>
        <v>0</v>
      </c>
      <c r="H183" s="151">
        <f ca="1">IF(RegimeExecucao="Global","",ORÇAMENTO!W183)</f>
        <v>0</v>
      </c>
      <c r="I183" s="154">
        <f ca="1">ORÇAMENTO!X183</f>
        <v>0</v>
      </c>
      <c r="J183" s="427">
        <f t="shared" ca="1" si="26"/>
        <v>0</v>
      </c>
      <c r="K183" s="151">
        <f t="shared" ca="1" si="27"/>
        <v>0</v>
      </c>
      <c r="L183" s="428">
        <f t="shared" ca="1" si="28"/>
        <v>0</v>
      </c>
      <c r="M183" s="429">
        <f ca="1">IF($A183="S",VTOTALBM,IF($A183=0,0,ROUND(SomaAgrupBM,15-13*ORÇAMENTO!$AF$11)))</f>
        <v>0</v>
      </c>
      <c r="N183" s="430">
        <f t="shared" ca="1" si="29"/>
        <v>0</v>
      </c>
      <c r="O183" s="154">
        <f ca="1">IF($A183="S",VTOTALBM,IF($A183=0,0,ROUND(SomaAgrupBM,15-13*ORÇAMENTO!$AF$11)))</f>
        <v>0</v>
      </c>
      <c r="Q183" s="431"/>
      <c r="R183" s="432"/>
      <c r="T183" s="146" t="str">
        <f t="shared" ca="1" si="30"/>
        <v/>
      </c>
      <c r="U183" s="206" t="str">
        <f t="shared" ca="1" si="31"/>
        <v/>
      </c>
      <c r="V183" s="207" t="str">
        <f t="shared" ca="1" si="32"/>
        <v/>
      </c>
      <c r="W183" s="595">
        <f ca="1">IF($Y183&gt;0,CHOOSE(MATCH(RegimeExecucao,{"Unitário","Global"},0),IF($A183="S",$Y183/$X183,""),($Y183/$X183)*100),0)</f>
        <v>0</v>
      </c>
      <c r="X183" s="433" t="str">
        <f ca="1">IF($Y183&gt;0,CHOOSE(MATCH(RegimeExecucao,{"Unitário","Global"},0),IF($A183="S",ROUND($H183,ORÇAMENTO!$AF$10),""),ROUND($I183,ORÇAMENTO!$AF$11)),"")</f>
        <v/>
      </c>
      <c r="Y183" s="433">
        <f t="shared" ca="1" si="33"/>
        <v>0</v>
      </c>
      <c r="Z183" s="434"/>
      <c r="AB183" s="431"/>
      <c r="AC183" s="569"/>
      <c r="AD183" s="569"/>
      <c r="AE183" s="569"/>
      <c r="AF183" s="569"/>
      <c r="AG183" s="569"/>
      <c r="AH183" s="569"/>
      <c r="AI183" s="569"/>
      <c r="AJ183" s="569"/>
      <c r="AK183" s="569"/>
      <c r="AL183" s="569"/>
      <c r="AM183" s="432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3" t="str">
        <f t="shared" ca="1" si="23"/>
        <v/>
      </c>
      <c r="D184" s="146" t="str">
        <f ca="1">ORÇAMENTO!O184</f>
        <v>-</v>
      </c>
      <c r="E184" s="206" t="str">
        <f t="shared" ca="1" si="24"/>
        <v>(abra o arquivo 'Referência 05-2023.xls)</v>
      </c>
      <c r="F184" s="207" t="str">
        <f t="shared" ca="1" si="25"/>
        <v>-</v>
      </c>
      <c r="G184" s="151">
        <f ca="1">IF(RegimeExecucao="Global","",ORÇAMENTO!T184)</f>
        <v>0</v>
      </c>
      <c r="H184" s="151">
        <f ca="1">IF(RegimeExecucao="Global","",ORÇAMENTO!W184)</f>
        <v>0</v>
      </c>
      <c r="I184" s="154">
        <f ca="1">ORÇAMENTO!X184</f>
        <v>0</v>
      </c>
      <c r="J184" s="427">
        <f t="shared" ca="1" si="26"/>
        <v>0</v>
      </c>
      <c r="K184" s="151">
        <f t="shared" ca="1" si="27"/>
        <v>0</v>
      </c>
      <c r="L184" s="428">
        <f t="shared" ca="1" si="28"/>
        <v>0</v>
      </c>
      <c r="M184" s="429">
        <f ca="1">IF($A184="S",VTOTALBM,IF($A184=0,0,ROUND(SomaAgrupBM,15-13*ORÇAMENTO!$AF$11)))</f>
        <v>0</v>
      </c>
      <c r="N184" s="430">
        <f t="shared" ca="1" si="29"/>
        <v>0</v>
      </c>
      <c r="O184" s="154">
        <f ca="1">IF($A184="S",VTOTALBM,IF($A184=0,0,ROUND(SomaAgrupBM,15-13*ORÇAMENTO!$AF$11)))</f>
        <v>0</v>
      </c>
      <c r="Q184" s="431"/>
      <c r="R184" s="432"/>
      <c r="T184" s="146" t="str">
        <f t="shared" ca="1" si="30"/>
        <v/>
      </c>
      <c r="U184" s="206" t="str">
        <f t="shared" ca="1" si="31"/>
        <v/>
      </c>
      <c r="V184" s="207" t="str">
        <f t="shared" ca="1" si="32"/>
        <v/>
      </c>
      <c r="W184" s="595">
        <f ca="1">IF($Y184&gt;0,CHOOSE(MATCH(RegimeExecucao,{"Unitário","Global"},0),IF($A184="S",$Y184/$X184,""),($Y184/$X184)*100),0)</f>
        <v>0</v>
      </c>
      <c r="X184" s="433" t="str">
        <f ca="1">IF($Y184&gt;0,CHOOSE(MATCH(RegimeExecucao,{"Unitário","Global"},0),IF($A184="S",ROUND($H184,ORÇAMENTO!$AF$10),""),ROUND($I184,ORÇAMENTO!$AF$11)),"")</f>
        <v/>
      </c>
      <c r="Y184" s="433">
        <f t="shared" ca="1" si="33"/>
        <v>0</v>
      </c>
      <c r="Z184" s="434"/>
      <c r="AB184" s="431"/>
      <c r="AC184" s="569"/>
      <c r="AD184" s="569"/>
      <c r="AE184" s="569"/>
      <c r="AF184" s="569"/>
      <c r="AG184" s="569"/>
      <c r="AH184" s="569"/>
      <c r="AI184" s="569"/>
      <c r="AJ184" s="569"/>
      <c r="AK184" s="569"/>
      <c r="AL184" s="569"/>
      <c r="AM184" s="432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3" t="str">
        <f t="shared" ca="1" si="23"/>
        <v/>
      </c>
      <c r="D185" s="146" t="str">
        <f ca="1">ORÇAMENTO!O185</f>
        <v>-</v>
      </c>
      <c r="E185" s="206" t="str">
        <f t="shared" ca="1" si="24"/>
        <v>(abra o arquivo 'Referência 05-2023.xls)</v>
      </c>
      <c r="F185" s="207" t="str">
        <f t="shared" ca="1" si="25"/>
        <v>-</v>
      </c>
      <c r="G185" s="151">
        <f ca="1">IF(RegimeExecucao="Global","",ORÇAMENTO!T185)</f>
        <v>0</v>
      </c>
      <c r="H185" s="151">
        <f ca="1">IF(RegimeExecucao="Global","",ORÇAMENTO!W185)</f>
        <v>0</v>
      </c>
      <c r="I185" s="154">
        <f ca="1">ORÇAMENTO!X185</f>
        <v>0</v>
      </c>
      <c r="J185" s="427">
        <f t="shared" ca="1" si="26"/>
        <v>0</v>
      </c>
      <c r="K185" s="151">
        <f t="shared" ca="1" si="27"/>
        <v>0</v>
      </c>
      <c r="L185" s="428">
        <f t="shared" ca="1" si="28"/>
        <v>0</v>
      </c>
      <c r="M185" s="429">
        <f ca="1">IF($A185="S",VTOTALBM,IF($A185=0,0,ROUND(SomaAgrupBM,15-13*ORÇAMENTO!$AF$11)))</f>
        <v>0</v>
      </c>
      <c r="N185" s="430">
        <f t="shared" ca="1" si="29"/>
        <v>0</v>
      </c>
      <c r="O185" s="154">
        <f ca="1">IF($A185="S",VTOTALBM,IF($A185=0,0,ROUND(SomaAgrupBM,15-13*ORÇAMENTO!$AF$11)))</f>
        <v>0</v>
      </c>
      <c r="Q185" s="431"/>
      <c r="R185" s="432"/>
      <c r="T185" s="146" t="str">
        <f t="shared" ca="1" si="30"/>
        <v/>
      </c>
      <c r="U185" s="206" t="str">
        <f t="shared" ca="1" si="31"/>
        <v/>
      </c>
      <c r="V185" s="207" t="str">
        <f t="shared" ca="1" si="32"/>
        <v/>
      </c>
      <c r="W185" s="595">
        <f ca="1">IF($Y185&gt;0,CHOOSE(MATCH(RegimeExecucao,{"Unitário","Global"},0),IF($A185="S",$Y185/$X185,""),($Y185/$X185)*100),0)</f>
        <v>0</v>
      </c>
      <c r="X185" s="433" t="str">
        <f ca="1">IF($Y185&gt;0,CHOOSE(MATCH(RegimeExecucao,{"Unitário","Global"},0),IF($A185="S",ROUND($H185,ORÇAMENTO!$AF$10),""),ROUND($I185,ORÇAMENTO!$AF$11)),"")</f>
        <v/>
      </c>
      <c r="Y185" s="433">
        <f t="shared" ca="1" si="33"/>
        <v>0</v>
      </c>
      <c r="Z185" s="434"/>
      <c r="AB185" s="431"/>
      <c r="AC185" s="569"/>
      <c r="AD185" s="569"/>
      <c r="AE185" s="569"/>
      <c r="AF185" s="569"/>
      <c r="AG185" s="569"/>
      <c r="AH185" s="569"/>
      <c r="AI185" s="569"/>
      <c r="AJ185" s="569"/>
      <c r="AK185" s="569"/>
      <c r="AL185" s="569"/>
      <c r="AM185" s="432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3" t="str">
        <f t="shared" ca="1" si="23"/>
        <v/>
      </c>
      <c r="D186" s="146" t="str">
        <f ca="1">ORÇAMENTO!O186</f>
        <v>-</v>
      </c>
      <c r="E186" s="206" t="str">
        <f t="shared" ca="1" si="24"/>
        <v>(abra o arquivo 'Referência 05-2023.xls)</v>
      </c>
      <c r="F186" s="207" t="str">
        <f t="shared" ca="1" si="25"/>
        <v>-</v>
      </c>
      <c r="G186" s="151">
        <f ca="1">IF(RegimeExecucao="Global","",ORÇAMENTO!T186)</f>
        <v>0</v>
      </c>
      <c r="H186" s="151">
        <f ca="1">IF(RegimeExecucao="Global","",ORÇAMENTO!W186)</f>
        <v>0</v>
      </c>
      <c r="I186" s="154">
        <f ca="1">ORÇAMENTO!X186</f>
        <v>0</v>
      </c>
      <c r="J186" s="427">
        <f t="shared" ca="1" si="26"/>
        <v>0</v>
      </c>
      <c r="K186" s="151">
        <f t="shared" ca="1" si="27"/>
        <v>0</v>
      </c>
      <c r="L186" s="428">
        <f t="shared" ca="1" si="28"/>
        <v>0</v>
      </c>
      <c r="M186" s="429">
        <f ca="1">IF($A186="S",VTOTALBM,IF($A186=0,0,ROUND(SomaAgrupBM,15-13*ORÇAMENTO!$AF$11)))</f>
        <v>0</v>
      </c>
      <c r="N186" s="430">
        <f t="shared" ca="1" si="29"/>
        <v>0</v>
      </c>
      <c r="O186" s="154">
        <f ca="1">IF($A186="S",VTOTALBM,IF($A186=0,0,ROUND(SomaAgrupBM,15-13*ORÇAMENTO!$AF$11)))</f>
        <v>0</v>
      </c>
      <c r="Q186" s="431"/>
      <c r="R186" s="432"/>
      <c r="T186" s="146" t="str">
        <f t="shared" ca="1" si="30"/>
        <v/>
      </c>
      <c r="U186" s="206" t="str">
        <f t="shared" ca="1" si="31"/>
        <v/>
      </c>
      <c r="V186" s="207" t="str">
        <f t="shared" ca="1" si="32"/>
        <v/>
      </c>
      <c r="W186" s="595">
        <f ca="1">IF($Y186&gt;0,CHOOSE(MATCH(RegimeExecucao,{"Unitário","Global"},0),IF($A186="S",$Y186/$X186,""),($Y186/$X186)*100),0)</f>
        <v>0</v>
      </c>
      <c r="X186" s="433" t="str">
        <f ca="1">IF($Y186&gt;0,CHOOSE(MATCH(RegimeExecucao,{"Unitário","Global"},0),IF($A186="S",ROUND($H186,ORÇAMENTO!$AF$10),""),ROUND($I186,ORÇAMENTO!$AF$11)),"")</f>
        <v/>
      </c>
      <c r="Y186" s="433">
        <f t="shared" ca="1" si="33"/>
        <v>0</v>
      </c>
      <c r="Z186" s="434"/>
      <c r="AB186" s="431"/>
      <c r="AC186" s="569"/>
      <c r="AD186" s="569"/>
      <c r="AE186" s="569"/>
      <c r="AF186" s="569"/>
      <c r="AG186" s="569"/>
      <c r="AH186" s="569"/>
      <c r="AI186" s="569"/>
      <c r="AJ186" s="569"/>
      <c r="AK186" s="569"/>
      <c r="AL186" s="569"/>
      <c r="AM186" s="432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3" t="str">
        <f t="shared" ca="1" si="23"/>
        <v/>
      </c>
      <c r="D187" s="146" t="str">
        <f ca="1">ORÇAMENTO!O187</f>
        <v>-</v>
      </c>
      <c r="E187" s="206" t="str">
        <f t="shared" ca="1" si="24"/>
        <v>(abra o arquivo 'Referência 05-2023.xls)</v>
      </c>
      <c r="F187" s="207" t="str">
        <f t="shared" ca="1" si="25"/>
        <v>-</v>
      </c>
      <c r="G187" s="151">
        <f ca="1">IF(RegimeExecucao="Global","",ORÇAMENTO!T187)</f>
        <v>0</v>
      </c>
      <c r="H187" s="151">
        <f ca="1">IF(RegimeExecucao="Global","",ORÇAMENTO!W187)</f>
        <v>0</v>
      </c>
      <c r="I187" s="154">
        <f ca="1">ORÇAMENTO!X187</f>
        <v>0</v>
      </c>
      <c r="J187" s="427">
        <f t="shared" ca="1" si="26"/>
        <v>0</v>
      </c>
      <c r="K187" s="151">
        <f t="shared" ca="1" si="27"/>
        <v>0</v>
      </c>
      <c r="L187" s="428">
        <f t="shared" ca="1" si="28"/>
        <v>0</v>
      </c>
      <c r="M187" s="429">
        <f ca="1">IF($A187="S",VTOTALBM,IF($A187=0,0,ROUND(SomaAgrupBM,15-13*ORÇAMENTO!$AF$11)))</f>
        <v>0</v>
      </c>
      <c r="N187" s="430">
        <f t="shared" ca="1" si="29"/>
        <v>0</v>
      </c>
      <c r="O187" s="154">
        <f ca="1">IF($A187="S",VTOTALBM,IF($A187=0,0,ROUND(SomaAgrupBM,15-13*ORÇAMENTO!$AF$11)))</f>
        <v>0</v>
      </c>
      <c r="Q187" s="431"/>
      <c r="R187" s="432"/>
      <c r="T187" s="146" t="str">
        <f t="shared" ca="1" si="30"/>
        <v/>
      </c>
      <c r="U187" s="206" t="str">
        <f t="shared" ca="1" si="31"/>
        <v/>
      </c>
      <c r="V187" s="207" t="str">
        <f t="shared" ca="1" si="32"/>
        <v/>
      </c>
      <c r="W187" s="595">
        <f ca="1">IF($Y187&gt;0,CHOOSE(MATCH(RegimeExecucao,{"Unitário","Global"},0),IF($A187="S",$Y187/$X187,""),($Y187/$X187)*100),0)</f>
        <v>0</v>
      </c>
      <c r="X187" s="433" t="str">
        <f ca="1">IF($Y187&gt;0,CHOOSE(MATCH(RegimeExecucao,{"Unitário","Global"},0),IF($A187="S",ROUND($H187,ORÇAMENTO!$AF$10),""),ROUND($I187,ORÇAMENTO!$AF$11)),"")</f>
        <v/>
      </c>
      <c r="Y187" s="433">
        <f t="shared" ca="1" si="33"/>
        <v>0</v>
      </c>
      <c r="Z187" s="434"/>
      <c r="AB187" s="431"/>
      <c r="AC187" s="569"/>
      <c r="AD187" s="569"/>
      <c r="AE187" s="569"/>
      <c r="AF187" s="569"/>
      <c r="AG187" s="569"/>
      <c r="AH187" s="569"/>
      <c r="AI187" s="569"/>
      <c r="AJ187" s="569"/>
      <c r="AK187" s="569"/>
      <c r="AL187" s="569"/>
      <c r="AM187" s="432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3" t="str">
        <f t="shared" ca="1" si="23"/>
        <v/>
      </c>
      <c r="D188" s="146" t="str">
        <f ca="1">ORÇAMENTO!O188</f>
        <v>-</v>
      </c>
      <c r="E188" s="206" t="str">
        <f t="shared" ca="1" si="24"/>
        <v>(abra o arquivo 'Referência 05-2023.xls)</v>
      </c>
      <c r="F188" s="207" t="str">
        <f t="shared" ca="1" si="25"/>
        <v>-</v>
      </c>
      <c r="G188" s="151">
        <f ca="1">IF(RegimeExecucao="Global","",ORÇAMENTO!T188)</f>
        <v>0</v>
      </c>
      <c r="H188" s="151">
        <f ca="1">IF(RegimeExecucao="Global","",ORÇAMENTO!W188)</f>
        <v>0</v>
      </c>
      <c r="I188" s="154">
        <f ca="1">ORÇAMENTO!X188</f>
        <v>0</v>
      </c>
      <c r="J188" s="427">
        <f t="shared" ca="1" si="26"/>
        <v>0</v>
      </c>
      <c r="K188" s="151">
        <f t="shared" ca="1" si="27"/>
        <v>0</v>
      </c>
      <c r="L188" s="428">
        <f t="shared" ca="1" si="28"/>
        <v>0</v>
      </c>
      <c r="M188" s="429">
        <f ca="1">IF($A188="S",VTOTALBM,IF($A188=0,0,ROUND(SomaAgrupBM,15-13*ORÇAMENTO!$AF$11)))</f>
        <v>0</v>
      </c>
      <c r="N188" s="430">
        <f t="shared" ca="1" si="29"/>
        <v>0</v>
      </c>
      <c r="O188" s="154">
        <f ca="1">IF($A188="S",VTOTALBM,IF($A188=0,0,ROUND(SomaAgrupBM,15-13*ORÇAMENTO!$AF$11)))</f>
        <v>0</v>
      </c>
      <c r="Q188" s="431"/>
      <c r="R188" s="432"/>
      <c r="T188" s="146" t="str">
        <f t="shared" ca="1" si="30"/>
        <v/>
      </c>
      <c r="U188" s="206" t="str">
        <f t="shared" ca="1" si="31"/>
        <v/>
      </c>
      <c r="V188" s="207" t="str">
        <f t="shared" ca="1" si="32"/>
        <v/>
      </c>
      <c r="W188" s="595">
        <f ca="1">IF($Y188&gt;0,CHOOSE(MATCH(RegimeExecucao,{"Unitário","Global"},0),IF($A188="S",$Y188/$X188,""),($Y188/$X188)*100),0)</f>
        <v>0</v>
      </c>
      <c r="X188" s="433" t="str">
        <f ca="1">IF($Y188&gt;0,CHOOSE(MATCH(RegimeExecucao,{"Unitário","Global"},0),IF($A188="S",ROUND($H188,ORÇAMENTO!$AF$10),""),ROUND($I188,ORÇAMENTO!$AF$11)),"")</f>
        <v/>
      </c>
      <c r="Y188" s="433">
        <f t="shared" ca="1" si="33"/>
        <v>0</v>
      </c>
      <c r="Z188" s="434"/>
      <c r="AB188" s="431"/>
      <c r="AC188" s="569"/>
      <c r="AD188" s="569"/>
      <c r="AE188" s="569"/>
      <c r="AF188" s="569"/>
      <c r="AG188" s="569"/>
      <c r="AH188" s="569"/>
      <c r="AI188" s="569"/>
      <c r="AJ188" s="569"/>
      <c r="AK188" s="569"/>
      <c r="AL188" s="569"/>
      <c r="AM188" s="432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3" t="str">
        <f t="shared" ca="1" si="23"/>
        <v/>
      </c>
      <c r="D189" s="146" t="str">
        <f ca="1">ORÇAMENTO!O189</f>
        <v>-</v>
      </c>
      <c r="E189" s="206" t="str">
        <f t="shared" ca="1" si="24"/>
        <v>(abra o arquivo 'Referência 05-2023.xls)</v>
      </c>
      <c r="F189" s="207" t="str">
        <f t="shared" ca="1" si="25"/>
        <v>-</v>
      </c>
      <c r="G189" s="151">
        <f ca="1">IF(RegimeExecucao="Global","",ORÇAMENTO!T189)</f>
        <v>0</v>
      </c>
      <c r="H189" s="151">
        <f ca="1">IF(RegimeExecucao="Global","",ORÇAMENTO!W189)</f>
        <v>0</v>
      </c>
      <c r="I189" s="154">
        <f ca="1">ORÇAMENTO!X189</f>
        <v>0</v>
      </c>
      <c r="J189" s="427">
        <f t="shared" ca="1" si="26"/>
        <v>0</v>
      </c>
      <c r="K189" s="151">
        <f t="shared" ca="1" si="27"/>
        <v>0</v>
      </c>
      <c r="L189" s="428">
        <f t="shared" ca="1" si="28"/>
        <v>0</v>
      </c>
      <c r="M189" s="429">
        <f ca="1">IF($A189="S",VTOTALBM,IF($A189=0,0,ROUND(SomaAgrupBM,15-13*ORÇAMENTO!$AF$11)))</f>
        <v>0</v>
      </c>
      <c r="N189" s="430">
        <f t="shared" ca="1" si="29"/>
        <v>0</v>
      </c>
      <c r="O189" s="154">
        <f ca="1">IF($A189="S",VTOTALBM,IF($A189=0,0,ROUND(SomaAgrupBM,15-13*ORÇAMENTO!$AF$11)))</f>
        <v>0</v>
      </c>
      <c r="Q189" s="431"/>
      <c r="R189" s="432"/>
      <c r="T189" s="146" t="str">
        <f t="shared" ca="1" si="30"/>
        <v/>
      </c>
      <c r="U189" s="206" t="str">
        <f t="shared" ca="1" si="31"/>
        <v/>
      </c>
      <c r="V189" s="207" t="str">
        <f t="shared" ca="1" si="32"/>
        <v/>
      </c>
      <c r="W189" s="595">
        <f ca="1">IF($Y189&gt;0,CHOOSE(MATCH(RegimeExecucao,{"Unitário","Global"},0),IF($A189="S",$Y189/$X189,""),($Y189/$X189)*100),0)</f>
        <v>0</v>
      </c>
      <c r="X189" s="433" t="str">
        <f ca="1">IF($Y189&gt;0,CHOOSE(MATCH(RegimeExecucao,{"Unitário","Global"},0),IF($A189="S",ROUND($H189,ORÇAMENTO!$AF$10),""),ROUND($I189,ORÇAMENTO!$AF$11)),"")</f>
        <v/>
      </c>
      <c r="Y189" s="433">
        <f t="shared" ca="1" si="33"/>
        <v>0</v>
      </c>
      <c r="Z189" s="434"/>
      <c r="AB189" s="431"/>
      <c r="AC189" s="569"/>
      <c r="AD189" s="569"/>
      <c r="AE189" s="569"/>
      <c r="AF189" s="569"/>
      <c r="AG189" s="569"/>
      <c r="AH189" s="569"/>
      <c r="AI189" s="569"/>
      <c r="AJ189" s="569"/>
      <c r="AK189" s="569"/>
      <c r="AL189" s="569"/>
      <c r="AM189" s="432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3" t="str">
        <f t="shared" ca="1" si="23"/>
        <v/>
      </c>
      <c r="D190" s="146" t="str">
        <f ca="1">ORÇAMENTO!O190</f>
        <v>-</v>
      </c>
      <c r="E190" s="206" t="str">
        <f t="shared" ca="1" si="24"/>
        <v>(abra o arquivo 'Referência 05-2023.xls)</v>
      </c>
      <c r="F190" s="207" t="str">
        <f t="shared" ca="1" si="25"/>
        <v>-</v>
      </c>
      <c r="G190" s="151">
        <f ca="1">IF(RegimeExecucao="Global","",ORÇAMENTO!T190)</f>
        <v>0</v>
      </c>
      <c r="H190" s="151">
        <f ca="1">IF(RegimeExecucao="Global","",ORÇAMENTO!W190)</f>
        <v>0</v>
      </c>
      <c r="I190" s="154">
        <f ca="1">ORÇAMENTO!X190</f>
        <v>0</v>
      </c>
      <c r="J190" s="427">
        <f t="shared" ca="1" si="26"/>
        <v>0</v>
      </c>
      <c r="K190" s="151">
        <f t="shared" ca="1" si="27"/>
        <v>0</v>
      </c>
      <c r="L190" s="428">
        <f t="shared" ca="1" si="28"/>
        <v>0</v>
      </c>
      <c r="M190" s="429">
        <f ca="1">IF($A190="S",VTOTALBM,IF($A190=0,0,ROUND(SomaAgrupBM,15-13*ORÇAMENTO!$AF$11)))</f>
        <v>0</v>
      </c>
      <c r="N190" s="430">
        <f t="shared" ca="1" si="29"/>
        <v>0</v>
      </c>
      <c r="O190" s="154">
        <f ca="1">IF($A190="S",VTOTALBM,IF($A190=0,0,ROUND(SomaAgrupBM,15-13*ORÇAMENTO!$AF$11)))</f>
        <v>0</v>
      </c>
      <c r="Q190" s="431"/>
      <c r="R190" s="432"/>
      <c r="T190" s="146" t="str">
        <f t="shared" ca="1" si="30"/>
        <v/>
      </c>
      <c r="U190" s="206" t="str">
        <f t="shared" ca="1" si="31"/>
        <v/>
      </c>
      <c r="V190" s="207" t="str">
        <f t="shared" ca="1" si="32"/>
        <v/>
      </c>
      <c r="W190" s="595">
        <f ca="1">IF($Y190&gt;0,CHOOSE(MATCH(RegimeExecucao,{"Unitário","Global"},0),IF($A190="S",$Y190/$X190,""),($Y190/$X190)*100),0)</f>
        <v>0</v>
      </c>
      <c r="X190" s="433" t="str">
        <f ca="1">IF($Y190&gt;0,CHOOSE(MATCH(RegimeExecucao,{"Unitário","Global"},0),IF($A190="S",ROUND($H190,ORÇAMENTO!$AF$10),""),ROUND($I190,ORÇAMENTO!$AF$11)),"")</f>
        <v/>
      </c>
      <c r="Y190" s="433">
        <f t="shared" ca="1" si="33"/>
        <v>0</v>
      </c>
      <c r="Z190" s="434"/>
      <c r="AB190" s="431"/>
      <c r="AC190" s="569"/>
      <c r="AD190" s="569"/>
      <c r="AE190" s="569"/>
      <c r="AF190" s="569"/>
      <c r="AG190" s="569"/>
      <c r="AH190" s="569"/>
      <c r="AI190" s="569"/>
      <c r="AJ190" s="569"/>
      <c r="AK190" s="569"/>
      <c r="AL190" s="569"/>
      <c r="AM190" s="432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3" t="str">
        <f t="shared" ca="1" si="23"/>
        <v/>
      </c>
      <c r="D191" s="146" t="str">
        <f ca="1">ORÇAMENTO!O191</f>
        <v>-</v>
      </c>
      <c r="E191" s="206" t="str">
        <f t="shared" ca="1" si="24"/>
        <v>(abra o arquivo 'Referência 05-2023.xls)</v>
      </c>
      <c r="F191" s="207" t="str">
        <f t="shared" ca="1" si="25"/>
        <v>-</v>
      </c>
      <c r="G191" s="151">
        <f ca="1">IF(RegimeExecucao="Global","",ORÇAMENTO!T191)</f>
        <v>0</v>
      </c>
      <c r="H191" s="151">
        <f ca="1">IF(RegimeExecucao="Global","",ORÇAMENTO!W191)</f>
        <v>0</v>
      </c>
      <c r="I191" s="154">
        <f ca="1">ORÇAMENTO!X191</f>
        <v>0</v>
      </c>
      <c r="J191" s="427">
        <f t="shared" ca="1" si="26"/>
        <v>0</v>
      </c>
      <c r="K191" s="151">
        <f t="shared" ca="1" si="27"/>
        <v>0</v>
      </c>
      <c r="L191" s="428">
        <f t="shared" ca="1" si="28"/>
        <v>0</v>
      </c>
      <c r="M191" s="429">
        <f ca="1">IF($A191="S",VTOTALBM,IF($A191=0,0,ROUND(SomaAgrupBM,15-13*ORÇAMENTO!$AF$11)))</f>
        <v>0</v>
      </c>
      <c r="N191" s="430">
        <f t="shared" ca="1" si="29"/>
        <v>0</v>
      </c>
      <c r="O191" s="154">
        <f ca="1">IF($A191="S",VTOTALBM,IF($A191=0,0,ROUND(SomaAgrupBM,15-13*ORÇAMENTO!$AF$11)))</f>
        <v>0</v>
      </c>
      <c r="Q191" s="431"/>
      <c r="R191" s="432"/>
      <c r="T191" s="146" t="str">
        <f t="shared" ca="1" si="30"/>
        <v/>
      </c>
      <c r="U191" s="206" t="str">
        <f t="shared" ca="1" si="31"/>
        <v/>
      </c>
      <c r="V191" s="207" t="str">
        <f t="shared" ca="1" si="32"/>
        <v/>
      </c>
      <c r="W191" s="595">
        <f ca="1">IF($Y191&gt;0,CHOOSE(MATCH(RegimeExecucao,{"Unitário","Global"},0),IF($A191="S",$Y191/$X191,""),($Y191/$X191)*100),0)</f>
        <v>0</v>
      </c>
      <c r="X191" s="433" t="str">
        <f ca="1">IF($Y191&gt;0,CHOOSE(MATCH(RegimeExecucao,{"Unitário","Global"},0),IF($A191="S",ROUND($H191,ORÇAMENTO!$AF$10),""),ROUND($I191,ORÇAMENTO!$AF$11)),"")</f>
        <v/>
      </c>
      <c r="Y191" s="433">
        <f t="shared" ca="1" si="33"/>
        <v>0</v>
      </c>
      <c r="Z191" s="434"/>
      <c r="AB191" s="431"/>
      <c r="AC191" s="569"/>
      <c r="AD191" s="569"/>
      <c r="AE191" s="569"/>
      <c r="AF191" s="569"/>
      <c r="AG191" s="569"/>
      <c r="AH191" s="569"/>
      <c r="AI191" s="569"/>
      <c r="AJ191" s="569"/>
      <c r="AK191" s="569"/>
      <c r="AL191" s="569"/>
      <c r="AM191" s="432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3" t="str">
        <f t="shared" ca="1" si="23"/>
        <v/>
      </c>
      <c r="D192" s="146" t="str">
        <f ca="1">ORÇAMENTO!O192</f>
        <v>-</v>
      </c>
      <c r="E192" s="206" t="str">
        <f t="shared" ca="1" si="24"/>
        <v>(abra o arquivo 'Referência 05-2023.xls)</v>
      </c>
      <c r="F192" s="207" t="str">
        <f t="shared" ca="1" si="25"/>
        <v>-</v>
      </c>
      <c r="G192" s="151">
        <f ca="1">IF(RegimeExecucao="Global","",ORÇAMENTO!T192)</f>
        <v>0</v>
      </c>
      <c r="H192" s="151">
        <f ca="1">IF(RegimeExecucao="Global","",ORÇAMENTO!W192)</f>
        <v>0</v>
      </c>
      <c r="I192" s="154">
        <f ca="1">ORÇAMENTO!X192</f>
        <v>0</v>
      </c>
      <c r="J192" s="427">
        <f t="shared" ca="1" si="26"/>
        <v>0</v>
      </c>
      <c r="K192" s="151">
        <f t="shared" ca="1" si="27"/>
        <v>0</v>
      </c>
      <c r="L192" s="428">
        <f t="shared" ca="1" si="28"/>
        <v>0</v>
      </c>
      <c r="M192" s="429">
        <f ca="1">IF($A192="S",VTOTALBM,IF($A192=0,0,ROUND(SomaAgrupBM,15-13*ORÇAMENTO!$AF$11)))</f>
        <v>0</v>
      </c>
      <c r="N192" s="430">
        <f t="shared" ca="1" si="29"/>
        <v>0</v>
      </c>
      <c r="O192" s="154">
        <f ca="1">IF($A192="S",VTOTALBM,IF($A192=0,0,ROUND(SomaAgrupBM,15-13*ORÇAMENTO!$AF$11)))</f>
        <v>0</v>
      </c>
      <c r="Q192" s="431"/>
      <c r="R192" s="432"/>
      <c r="T192" s="146" t="str">
        <f t="shared" ca="1" si="30"/>
        <v/>
      </c>
      <c r="U192" s="206" t="str">
        <f t="shared" ca="1" si="31"/>
        <v/>
      </c>
      <c r="V192" s="207" t="str">
        <f t="shared" ca="1" si="32"/>
        <v/>
      </c>
      <c r="W192" s="595">
        <f ca="1">IF($Y192&gt;0,CHOOSE(MATCH(RegimeExecucao,{"Unitário","Global"},0),IF($A192="S",$Y192/$X192,""),($Y192/$X192)*100),0)</f>
        <v>0</v>
      </c>
      <c r="X192" s="433" t="str">
        <f ca="1">IF($Y192&gt;0,CHOOSE(MATCH(RegimeExecucao,{"Unitário","Global"},0),IF($A192="S",ROUND($H192,ORÇAMENTO!$AF$10),""),ROUND($I192,ORÇAMENTO!$AF$11)),"")</f>
        <v/>
      </c>
      <c r="Y192" s="433">
        <f t="shared" ca="1" si="33"/>
        <v>0</v>
      </c>
      <c r="Z192" s="434"/>
      <c r="AB192" s="431"/>
      <c r="AC192" s="569"/>
      <c r="AD192" s="569"/>
      <c r="AE192" s="569"/>
      <c r="AF192" s="569"/>
      <c r="AG192" s="569"/>
      <c r="AH192" s="569"/>
      <c r="AI192" s="569"/>
      <c r="AJ192" s="569"/>
      <c r="AK192" s="569"/>
      <c r="AL192" s="569"/>
      <c r="AM192" s="432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3" t="str">
        <f t="shared" ca="1" si="23"/>
        <v/>
      </c>
      <c r="D193" s="146" t="str">
        <f ca="1">ORÇAMENTO!O193</f>
        <v>-</v>
      </c>
      <c r="E193" s="206" t="str">
        <f t="shared" ca="1" si="24"/>
        <v>(abra o arquivo 'Referência 05-2023.xls)</v>
      </c>
      <c r="F193" s="207" t="str">
        <f t="shared" ca="1" si="25"/>
        <v>-</v>
      </c>
      <c r="G193" s="151">
        <f ca="1">IF(RegimeExecucao="Global","",ORÇAMENTO!T193)</f>
        <v>0</v>
      </c>
      <c r="H193" s="151">
        <f ca="1">IF(RegimeExecucao="Global","",ORÇAMENTO!W193)</f>
        <v>0</v>
      </c>
      <c r="I193" s="154">
        <f ca="1">ORÇAMENTO!X193</f>
        <v>0</v>
      </c>
      <c r="J193" s="427">
        <f t="shared" ca="1" si="26"/>
        <v>0</v>
      </c>
      <c r="K193" s="151">
        <f t="shared" ca="1" si="27"/>
        <v>0</v>
      </c>
      <c r="L193" s="428">
        <f t="shared" ca="1" si="28"/>
        <v>0</v>
      </c>
      <c r="M193" s="429">
        <f ca="1">IF($A193="S",VTOTALBM,IF($A193=0,0,ROUND(SomaAgrupBM,15-13*ORÇAMENTO!$AF$11)))</f>
        <v>0</v>
      </c>
      <c r="N193" s="430">
        <f t="shared" ca="1" si="29"/>
        <v>0</v>
      </c>
      <c r="O193" s="154">
        <f ca="1">IF($A193="S",VTOTALBM,IF($A193=0,0,ROUND(SomaAgrupBM,15-13*ORÇAMENTO!$AF$11)))</f>
        <v>0</v>
      </c>
      <c r="Q193" s="431"/>
      <c r="R193" s="432"/>
      <c r="T193" s="146" t="str">
        <f t="shared" ca="1" si="30"/>
        <v/>
      </c>
      <c r="U193" s="206" t="str">
        <f t="shared" ca="1" si="31"/>
        <v/>
      </c>
      <c r="V193" s="207" t="str">
        <f t="shared" ca="1" si="32"/>
        <v/>
      </c>
      <c r="W193" s="595">
        <f ca="1">IF($Y193&gt;0,CHOOSE(MATCH(RegimeExecucao,{"Unitário","Global"},0),IF($A193="S",$Y193/$X193,""),($Y193/$X193)*100),0)</f>
        <v>0</v>
      </c>
      <c r="X193" s="433" t="str">
        <f ca="1">IF($Y193&gt;0,CHOOSE(MATCH(RegimeExecucao,{"Unitário","Global"},0),IF($A193="S",ROUND($H193,ORÇAMENTO!$AF$10),""),ROUND($I193,ORÇAMENTO!$AF$11)),"")</f>
        <v/>
      </c>
      <c r="Y193" s="433">
        <f t="shared" ca="1" si="33"/>
        <v>0</v>
      </c>
      <c r="Z193" s="434"/>
      <c r="AB193" s="431"/>
      <c r="AC193" s="569"/>
      <c r="AD193" s="569"/>
      <c r="AE193" s="569"/>
      <c r="AF193" s="569"/>
      <c r="AG193" s="569"/>
      <c r="AH193" s="569"/>
      <c r="AI193" s="569"/>
      <c r="AJ193" s="569"/>
      <c r="AK193" s="569"/>
      <c r="AL193" s="569"/>
      <c r="AM193" s="432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3" t="str">
        <f t="shared" ca="1" si="23"/>
        <v/>
      </c>
      <c r="D194" s="146" t="str">
        <f ca="1">ORÇAMENTO!O194</f>
        <v>-</v>
      </c>
      <c r="E194" s="206" t="str">
        <f t="shared" ca="1" si="24"/>
        <v>(abra o arquivo 'Referência 05-2023.xls)</v>
      </c>
      <c r="F194" s="207" t="str">
        <f t="shared" ca="1" si="25"/>
        <v>-</v>
      </c>
      <c r="G194" s="151">
        <f ca="1">IF(RegimeExecucao="Global","",ORÇAMENTO!T194)</f>
        <v>0</v>
      </c>
      <c r="H194" s="151">
        <f ca="1">IF(RegimeExecucao="Global","",ORÇAMENTO!W194)</f>
        <v>0</v>
      </c>
      <c r="I194" s="154">
        <f ca="1">ORÇAMENTO!X194</f>
        <v>0</v>
      </c>
      <c r="J194" s="427">
        <f t="shared" ca="1" si="26"/>
        <v>0</v>
      </c>
      <c r="K194" s="151">
        <f t="shared" ca="1" si="27"/>
        <v>0</v>
      </c>
      <c r="L194" s="428">
        <f t="shared" ca="1" si="28"/>
        <v>0</v>
      </c>
      <c r="M194" s="429">
        <f ca="1">IF($A194="S",VTOTALBM,IF($A194=0,0,ROUND(SomaAgrupBM,15-13*ORÇAMENTO!$AF$11)))</f>
        <v>0</v>
      </c>
      <c r="N194" s="430">
        <f t="shared" ca="1" si="29"/>
        <v>0</v>
      </c>
      <c r="O194" s="154">
        <f ca="1">IF($A194="S",VTOTALBM,IF($A194=0,0,ROUND(SomaAgrupBM,15-13*ORÇAMENTO!$AF$11)))</f>
        <v>0</v>
      </c>
      <c r="Q194" s="431"/>
      <c r="R194" s="432"/>
      <c r="T194" s="146" t="str">
        <f t="shared" ca="1" si="30"/>
        <v/>
      </c>
      <c r="U194" s="206" t="str">
        <f t="shared" ca="1" si="31"/>
        <v/>
      </c>
      <c r="V194" s="207" t="str">
        <f t="shared" ca="1" si="32"/>
        <v/>
      </c>
      <c r="W194" s="595">
        <f ca="1">IF($Y194&gt;0,CHOOSE(MATCH(RegimeExecucao,{"Unitário","Global"},0),IF($A194="S",$Y194/$X194,""),($Y194/$X194)*100),0)</f>
        <v>0</v>
      </c>
      <c r="X194" s="433" t="str">
        <f ca="1">IF($Y194&gt;0,CHOOSE(MATCH(RegimeExecucao,{"Unitário","Global"},0),IF($A194="S",ROUND($H194,ORÇAMENTO!$AF$10),""),ROUND($I194,ORÇAMENTO!$AF$11)),"")</f>
        <v/>
      </c>
      <c r="Y194" s="433">
        <f t="shared" ca="1" si="33"/>
        <v>0</v>
      </c>
      <c r="Z194" s="434"/>
      <c r="AB194" s="431"/>
      <c r="AC194" s="569"/>
      <c r="AD194" s="569"/>
      <c r="AE194" s="569"/>
      <c r="AF194" s="569"/>
      <c r="AG194" s="569"/>
      <c r="AH194" s="569"/>
      <c r="AI194" s="569"/>
      <c r="AJ194" s="569"/>
      <c r="AK194" s="569"/>
      <c r="AL194" s="569"/>
      <c r="AM194" s="432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3" t="str">
        <f t="shared" ca="1" si="23"/>
        <v/>
      </c>
      <c r="D195" s="146" t="str">
        <f ca="1">ORÇAMENTO!O195</f>
        <v>-</v>
      </c>
      <c r="E195" s="206" t="str">
        <f t="shared" ca="1" si="24"/>
        <v>(abra o arquivo 'Referência 05-2023.xls)</v>
      </c>
      <c r="F195" s="207" t="str">
        <f t="shared" ca="1" si="25"/>
        <v>-</v>
      </c>
      <c r="G195" s="151">
        <f ca="1">IF(RegimeExecucao="Global","",ORÇAMENTO!T195)</f>
        <v>0</v>
      </c>
      <c r="H195" s="151">
        <f ca="1">IF(RegimeExecucao="Global","",ORÇAMENTO!W195)</f>
        <v>0</v>
      </c>
      <c r="I195" s="154">
        <f ca="1">ORÇAMENTO!X195</f>
        <v>0</v>
      </c>
      <c r="J195" s="427">
        <f t="shared" ca="1" si="26"/>
        <v>0</v>
      </c>
      <c r="K195" s="151">
        <f t="shared" ca="1" si="27"/>
        <v>0</v>
      </c>
      <c r="L195" s="428">
        <f t="shared" ca="1" si="28"/>
        <v>0</v>
      </c>
      <c r="M195" s="429">
        <f ca="1">IF($A195="S",VTOTALBM,IF($A195=0,0,ROUND(SomaAgrupBM,15-13*ORÇAMENTO!$AF$11)))</f>
        <v>0</v>
      </c>
      <c r="N195" s="430">
        <f t="shared" ca="1" si="29"/>
        <v>0</v>
      </c>
      <c r="O195" s="154">
        <f ca="1">IF($A195="S",VTOTALBM,IF($A195=0,0,ROUND(SomaAgrupBM,15-13*ORÇAMENTO!$AF$11)))</f>
        <v>0</v>
      </c>
      <c r="Q195" s="431"/>
      <c r="R195" s="432"/>
      <c r="T195" s="146" t="str">
        <f t="shared" ca="1" si="30"/>
        <v/>
      </c>
      <c r="U195" s="206" t="str">
        <f t="shared" ca="1" si="31"/>
        <v/>
      </c>
      <c r="V195" s="207" t="str">
        <f t="shared" ca="1" si="32"/>
        <v/>
      </c>
      <c r="W195" s="595">
        <f ca="1">IF($Y195&gt;0,CHOOSE(MATCH(RegimeExecucao,{"Unitário","Global"},0),IF($A195="S",$Y195/$X195,""),($Y195/$X195)*100),0)</f>
        <v>0</v>
      </c>
      <c r="X195" s="433" t="str">
        <f ca="1">IF($Y195&gt;0,CHOOSE(MATCH(RegimeExecucao,{"Unitário","Global"},0),IF($A195="S",ROUND($H195,ORÇAMENTO!$AF$10),""),ROUND($I195,ORÇAMENTO!$AF$11)),"")</f>
        <v/>
      </c>
      <c r="Y195" s="433">
        <f t="shared" ca="1" si="33"/>
        <v>0</v>
      </c>
      <c r="Z195" s="434"/>
      <c r="AB195" s="431"/>
      <c r="AC195" s="569"/>
      <c r="AD195" s="569"/>
      <c r="AE195" s="569"/>
      <c r="AF195" s="569"/>
      <c r="AG195" s="569"/>
      <c r="AH195" s="569"/>
      <c r="AI195" s="569"/>
      <c r="AJ195" s="569"/>
      <c r="AK195" s="569"/>
      <c r="AL195" s="569"/>
      <c r="AM195" s="432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3" t="str">
        <f t="shared" ca="1" si="23"/>
        <v/>
      </c>
      <c r="D196" s="146" t="str">
        <f ca="1">ORÇAMENTO!O196</f>
        <v>-</v>
      </c>
      <c r="E196" s="206" t="str">
        <f t="shared" ca="1" si="24"/>
        <v>(abra o arquivo 'Referência 05-2023.xls)</v>
      </c>
      <c r="F196" s="207" t="str">
        <f t="shared" ca="1" si="25"/>
        <v>-</v>
      </c>
      <c r="G196" s="151">
        <f ca="1">IF(RegimeExecucao="Global","",ORÇAMENTO!T196)</f>
        <v>0</v>
      </c>
      <c r="H196" s="151">
        <f ca="1">IF(RegimeExecucao="Global","",ORÇAMENTO!W196)</f>
        <v>0</v>
      </c>
      <c r="I196" s="154">
        <f ca="1">ORÇAMENTO!X196</f>
        <v>0</v>
      </c>
      <c r="J196" s="427">
        <f t="shared" ca="1" si="26"/>
        <v>0</v>
      </c>
      <c r="K196" s="151">
        <f t="shared" ca="1" si="27"/>
        <v>0</v>
      </c>
      <c r="L196" s="428">
        <f t="shared" ca="1" si="28"/>
        <v>0</v>
      </c>
      <c r="M196" s="429">
        <f ca="1">IF($A196="S",VTOTALBM,IF($A196=0,0,ROUND(SomaAgrupBM,15-13*ORÇAMENTO!$AF$11)))</f>
        <v>0</v>
      </c>
      <c r="N196" s="430">
        <f t="shared" ca="1" si="29"/>
        <v>0</v>
      </c>
      <c r="O196" s="154">
        <f ca="1">IF($A196="S",VTOTALBM,IF($A196=0,0,ROUND(SomaAgrupBM,15-13*ORÇAMENTO!$AF$11)))</f>
        <v>0</v>
      </c>
      <c r="Q196" s="431"/>
      <c r="R196" s="432"/>
      <c r="T196" s="146" t="str">
        <f t="shared" ca="1" si="30"/>
        <v/>
      </c>
      <c r="U196" s="206" t="str">
        <f t="shared" ca="1" si="31"/>
        <v/>
      </c>
      <c r="V196" s="207" t="str">
        <f t="shared" ca="1" si="32"/>
        <v/>
      </c>
      <c r="W196" s="595">
        <f ca="1">IF($Y196&gt;0,CHOOSE(MATCH(RegimeExecucao,{"Unitário","Global"},0),IF($A196="S",$Y196/$X196,""),($Y196/$X196)*100),0)</f>
        <v>0</v>
      </c>
      <c r="X196" s="433" t="str">
        <f ca="1">IF($Y196&gt;0,CHOOSE(MATCH(RegimeExecucao,{"Unitário","Global"},0),IF($A196="S",ROUND($H196,ORÇAMENTO!$AF$10),""),ROUND($I196,ORÇAMENTO!$AF$11)),"")</f>
        <v/>
      </c>
      <c r="Y196" s="433">
        <f t="shared" ca="1" si="33"/>
        <v>0</v>
      </c>
      <c r="Z196" s="434"/>
      <c r="AB196" s="431"/>
      <c r="AC196" s="569"/>
      <c r="AD196" s="569"/>
      <c r="AE196" s="569"/>
      <c r="AF196" s="569"/>
      <c r="AG196" s="569"/>
      <c r="AH196" s="569"/>
      <c r="AI196" s="569"/>
      <c r="AJ196" s="569"/>
      <c r="AK196" s="569"/>
      <c r="AL196" s="569"/>
      <c r="AM196" s="432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3" t="str">
        <f t="shared" ca="1" si="23"/>
        <v/>
      </c>
      <c r="D197" s="146" t="str">
        <f ca="1">ORÇAMENTO!O197</f>
        <v>-</v>
      </c>
      <c r="E197" s="206" t="str">
        <f t="shared" ca="1" si="24"/>
        <v>(abra o arquivo 'Referência 05-2023.xls)</v>
      </c>
      <c r="F197" s="207" t="str">
        <f t="shared" ca="1" si="25"/>
        <v>-</v>
      </c>
      <c r="G197" s="151">
        <f ca="1">IF(RegimeExecucao="Global","",ORÇAMENTO!T197)</f>
        <v>0</v>
      </c>
      <c r="H197" s="151">
        <f ca="1">IF(RegimeExecucao="Global","",ORÇAMENTO!W197)</f>
        <v>0</v>
      </c>
      <c r="I197" s="154">
        <f ca="1">ORÇAMENTO!X197</f>
        <v>0</v>
      </c>
      <c r="J197" s="427">
        <f t="shared" ca="1" si="26"/>
        <v>0</v>
      </c>
      <c r="K197" s="151">
        <f t="shared" ca="1" si="27"/>
        <v>0</v>
      </c>
      <c r="L197" s="428">
        <f t="shared" ca="1" si="28"/>
        <v>0</v>
      </c>
      <c r="M197" s="429">
        <f ca="1">IF($A197="S",VTOTALBM,IF($A197=0,0,ROUND(SomaAgrupBM,15-13*ORÇAMENTO!$AF$11)))</f>
        <v>0</v>
      </c>
      <c r="N197" s="430">
        <f t="shared" ca="1" si="29"/>
        <v>0</v>
      </c>
      <c r="O197" s="154">
        <f ca="1">IF($A197="S",VTOTALBM,IF($A197=0,0,ROUND(SomaAgrupBM,15-13*ORÇAMENTO!$AF$11)))</f>
        <v>0</v>
      </c>
      <c r="Q197" s="431"/>
      <c r="R197" s="432"/>
      <c r="T197" s="146" t="str">
        <f t="shared" ca="1" si="30"/>
        <v/>
      </c>
      <c r="U197" s="206" t="str">
        <f t="shared" ca="1" si="31"/>
        <v/>
      </c>
      <c r="V197" s="207" t="str">
        <f t="shared" ca="1" si="32"/>
        <v/>
      </c>
      <c r="W197" s="595">
        <f ca="1">IF($Y197&gt;0,CHOOSE(MATCH(RegimeExecucao,{"Unitário","Global"},0),IF($A197="S",$Y197/$X197,""),($Y197/$X197)*100),0)</f>
        <v>0</v>
      </c>
      <c r="X197" s="433" t="str">
        <f ca="1">IF($Y197&gt;0,CHOOSE(MATCH(RegimeExecucao,{"Unitário","Global"},0),IF($A197="S",ROUND($H197,ORÇAMENTO!$AF$10),""),ROUND($I197,ORÇAMENTO!$AF$11)),"")</f>
        <v/>
      </c>
      <c r="Y197" s="433">
        <f t="shared" ca="1" si="33"/>
        <v>0</v>
      </c>
      <c r="Z197" s="434"/>
      <c r="AB197" s="431"/>
      <c r="AC197" s="569"/>
      <c r="AD197" s="569"/>
      <c r="AE197" s="569"/>
      <c r="AF197" s="569"/>
      <c r="AG197" s="569"/>
      <c r="AH197" s="569"/>
      <c r="AI197" s="569"/>
      <c r="AJ197" s="569"/>
      <c r="AK197" s="569"/>
      <c r="AL197" s="569"/>
      <c r="AM197" s="432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3" t="str">
        <f t="shared" ca="1" si="23"/>
        <v/>
      </c>
      <c r="D198" s="146" t="str">
        <f ca="1">ORÇAMENTO!O198</f>
        <v>-</v>
      </c>
      <c r="E198" s="206" t="str">
        <f t="shared" ca="1" si="24"/>
        <v>(abra o arquivo 'Referência 05-2023.xls)</v>
      </c>
      <c r="F198" s="207" t="str">
        <f t="shared" ca="1" si="25"/>
        <v>-</v>
      </c>
      <c r="G198" s="151">
        <f ca="1">IF(RegimeExecucao="Global","",ORÇAMENTO!T198)</f>
        <v>0</v>
      </c>
      <c r="H198" s="151">
        <f ca="1">IF(RegimeExecucao="Global","",ORÇAMENTO!W198)</f>
        <v>0</v>
      </c>
      <c r="I198" s="154">
        <f ca="1">ORÇAMENTO!X198</f>
        <v>0</v>
      </c>
      <c r="J198" s="427">
        <f t="shared" ca="1" si="26"/>
        <v>0</v>
      </c>
      <c r="K198" s="151">
        <f t="shared" ca="1" si="27"/>
        <v>0</v>
      </c>
      <c r="L198" s="428">
        <f t="shared" ca="1" si="28"/>
        <v>0</v>
      </c>
      <c r="M198" s="429">
        <f ca="1">IF($A198="S",VTOTALBM,IF($A198=0,0,ROUND(SomaAgrupBM,15-13*ORÇAMENTO!$AF$11)))</f>
        <v>0</v>
      </c>
      <c r="N198" s="430">
        <f t="shared" ca="1" si="29"/>
        <v>0</v>
      </c>
      <c r="O198" s="154">
        <f ca="1">IF($A198="S",VTOTALBM,IF($A198=0,0,ROUND(SomaAgrupBM,15-13*ORÇAMENTO!$AF$11)))</f>
        <v>0</v>
      </c>
      <c r="Q198" s="431"/>
      <c r="R198" s="432"/>
      <c r="T198" s="146" t="str">
        <f t="shared" ca="1" si="30"/>
        <v/>
      </c>
      <c r="U198" s="206" t="str">
        <f t="shared" ca="1" si="31"/>
        <v/>
      </c>
      <c r="V198" s="207" t="str">
        <f t="shared" ca="1" si="32"/>
        <v/>
      </c>
      <c r="W198" s="595">
        <f ca="1">IF($Y198&gt;0,CHOOSE(MATCH(RegimeExecucao,{"Unitário","Global"},0),IF($A198="S",$Y198/$X198,""),($Y198/$X198)*100),0)</f>
        <v>0</v>
      </c>
      <c r="X198" s="433" t="str">
        <f ca="1">IF($Y198&gt;0,CHOOSE(MATCH(RegimeExecucao,{"Unitário","Global"},0),IF($A198="S",ROUND($H198,ORÇAMENTO!$AF$10),""),ROUND($I198,ORÇAMENTO!$AF$11)),"")</f>
        <v/>
      </c>
      <c r="Y198" s="433">
        <f t="shared" ca="1" si="33"/>
        <v>0</v>
      </c>
      <c r="Z198" s="434"/>
      <c r="AB198" s="431"/>
      <c r="AC198" s="569"/>
      <c r="AD198" s="569"/>
      <c r="AE198" s="569"/>
      <c r="AF198" s="569"/>
      <c r="AG198" s="569"/>
      <c r="AH198" s="569"/>
      <c r="AI198" s="569"/>
      <c r="AJ198" s="569"/>
      <c r="AK198" s="569"/>
      <c r="AL198" s="569"/>
      <c r="AM198" s="432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3" t="str">
        <f t="shared" ca="1" si="23"/>
        <v/>
      </c>
      <c r="D199" s="146" t="str">
        <f ca="1">ORÇAMENTO!O199</f>
        <v>-</v>
      </c>
      <c r="E199" s="206" t="str">
        <f t="shared" ca="1" si="24"/>
        <v>(abra o arquivo 'Referência 05-2023.xls)</v>
      </c>
      <c r="F199" s="207" t="str">
        <f t="shared" ca="1" si="25"/>
        <v>-</v>
      </c>
      <c r="G199" s="151">
        <f ca="1">IF(RegimeExecucao="Global","",ORÇAMENTO!T199)</f>
        <v>0</v>
      </c>
      <c r="H199" s="151">
        <f ca="1">IF(RegimeExecucao="Global","",ORÇAMENTO!W199)</f>
        <v>0</v>
      </c>
      <c r="I199" s="154">
        <f ca="1">ORÇAMENTO!X199</f>
        <v>0</v>
      </c>
      <c r="J199" s="427">
        <f t="shared" ca="1" si="26"/>
        <v>0</v>
      </c>
      <c r="K199" s="151">
        <f t="shared" ca="1" si="27"/>
        <v>0</v>
      </c>
      <c r="L199" s="428">
        <f t="shared" ca="1" si="28"/>
        <v>0</v>
      </c>
      <c r="M199" s="429">
        <f ca="1">IF($A199="S",VTOTALBM,IF($A199=0,0,ROUND(SomaAgrupBM,15-13*ORÇAMENTO!$AF$11)))</f>
        <v>0</v>
      </c>
      <c r="N199" s="430">
        <f t="shared" ca="1" si="29"/>
        <v>0</v>
      </c>
      <c r="O199" s="154">
        <f ca="1">IF($A199="S",VTOTALBM,IF($A199=0,0,ROUND(SomaAgrupBM,15-13*ORÇAMENTO!$AF$11)))</f>
        <v>0</v>
      </c>
      <c r="Q199" s="431"/>
      <c r="R199" s="432"/>
      <c r="T199" s="146" t="str">
        <f t="shared" ca="1" si="30"/>
        <v/>
      </c>
      <c r="U199" s="206" t="str">
        <f t="shared" ca="1" si="31"/>
        <v/>
      </c>
      <c r="V199" s="207" t="str">
        <f t="shared" ca="1" si="32"/>
        <v/>
      </c>
      <c r="W199" s="595">
        <f ca="1">IF($Y199&gt;0,CHOOSE(MATCH(RegimeExecucao,{"Unitário","Global"},0),IF($A199="S",$Y199/$X199,""),($Y199/$X199)*100),0)</f>
        <v>0</v>
      </c>
      <c r="X199" s="433" t="str">
        <f ca="1">IF($Y199&gt;0,CHOOSE(MATCH(RegimeExecucao,{"Unitário","Global"},0),IF($A199="S",ROUND($H199,ORÇAMENTO!$AF$10),""),ROUND($I199,ORÇAMENTO!$AF$11)),"")</f>
        <v/>
      </c>
      <c r="Y199" s="433">
        <f t="shared" ca="1" si="33"/>
        <v>0</v>
      </c>
      <c r="Z199" s="434"/>
      <c r="AB199" s="431"/>
      <c r="AC199" s="569"/>
      <c r="AD199" s="569"/>
      <c r="AE199" s="569"/>
      <c r="AF199" s="569"/>
      <c r="AG199" s="569"/>
      <c r="AH199" s="569"/>
      <c r="AI199" s="569"/>
      <c r="AJ199" s="569"/>
      <c r="AK199" s="569"/>
      <c r="AL199" s="569"/>
      <c r="AM199" s="432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3" t="str">
        <f t="shared" ca="1" si="23"/>
        <v/>
      </c>
      <c r="D200" s="146" t="str">
        <f ca="1">ORÇAMENTO!O200</f>
        <v>-</v>
      </c>
      <c r="E200" s="206" t="str">
        <f t="shared" ca="1" si="24"/>
        <v>(abra o arquivo 'Referência 05-2023.xls)</v>
      </c>
      <c r="F200" s="207" t="str">
        <f t="shared" ca="1" si="25"/>
        <v>-</v>
      </c>
      <c r="G200" s="151">
        <f ca="1">IF(RegimeExecucao="Global","",ORÇAMENTO!T200)</f>
        <v>0</v>
      </c>
      <c r="H200" s="151">
        <f ca="1">IF(RegimeExecucao="Global","",ORÇAMENTO!W200)</f>
        <v>0</v>
      </c>
      <c r="I200" s="154">
        <f ca="1">ORÇAMENTO!X200</f>
        <v>0</v>
      </c>
      <c r="J200" s="427">
        <f t="shared" ca="1" si="26"/>
        <v>0</v>
      </c>
      <c r="K200" s="151">
        <f t="shared" ca="1" si="27"/>
        <v>0</v>
      </c>
      <c r="L200" s="428">
        <f t="shared" ca="1" si="28"/>
        <v>0</v>
      </c>
      <c r="M200" s="429">
        <f ca="1">IF($A200="S",VTOTALBM,IF($A200=0,0,ROUND(SomaAgrupBM,15-13*ORÇAMENTO!$AF$11)))</f>
        <v>0</v>
      </c>
      <c r="N200" s="430">
        <f t="shared" ca="1" si="29"/>
        <v>0</v>
      </c>
      <c r="O200" s="154">
        <f ca="1">IF($A200="S",VTOTALBM,IF($A200=0,0,ROUND(SomaAgrupBM,15-13*ORÇAMENTO!$AF$11)))</f>
        <v>0</v>
      </c>
      <c r="Q200" s="431"/>
      <c r="R200" s="432"/>
      <c r="T200" s="146" t="str">
        <f t="shared" ca="1" si="30"/>
        <v/>
      </c>
      <c r="U200" s="206" t="str">
        <f t="shared" ca="1" si="31"/>
        <v/>
      </c>
      <c r="V200" s="207" t="str">
        <f t="shared" ca="1" si="32"/>
        <v/>
      </c>
      <c r="W200" s="595">
        <f ca="1">IF($Y200&gt;0,CHOOSE(MATCH(RegimeExecucao,{"Unitário","Global"},0),IF($A200="S",$Y200/$X200,""),($Y200/$X200)*100),0)</f>
        <v>0</v>
      </c>
      <c r="X200" s="433" t="str">
        <f ca="1">IF($Y200&gt;0,CHOOSE(MATCH(RegimeExecucao,{"Unitário","Global"},0),IF($A200="S",ROUND($H200,ORÇAMENTO!$AF$10),""),ROUND($I200,ORÇAMENTO!$AF$11)),"")</f>
        <v/>
      </c>
      <c r="Y200" s="433">
        <f t="shared" ca="1" si="33"/>
        <v>0</v>
      </c>
      <c r="Z200" s="434"/>
      <c r="AB200" s="431"/>
      <c r="AC200" s="569"/>
      <c r="AD200" s="569"/>
      <c r="AE200" s="569"/>
      <c r="AF200" s="569"/>
      <c r="AG200" s="569"/>
      <c r="AH200" s="569"/>
      <c r="AI200" s="569"/>
      <c r="AJ200" s="569"/>
      <c r="AK200" s="569"/>
      <c r="AL200" s="569"/>
      <c r="AM200" s="432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3" t="str">
        <f t="shared" ca="1" si="23"/>
        <v/>
      </c>
      <c r="D201" s="146" t="str">
        <f ca="1">ORÇAMENTO!O201</f>
        <v>-</v>
      </c>
      <c r="E201" s="206" t="str">
        <f t="shared" ca="1" si="24"/>
        <v>(abra o arquivo 'Referência 05-2023.xls)</v>
      </c>
      <c r="F201" s="207" t="str">
        <f t="shared" ca="1" si="25"/>
        <v>-</v>
      </c>
      <c r="G201" s="151">
        <f ca="1">IF(RegimeExecucao="Global","",ORÇAMENTO!T201)</f>
        <v>0</v>
      </c>
      <c r="H201" s="151">
        <f ca="1">IF(RegimeExecucao="Global","",ORÇAMENTO!W201)</f>
        <v>0</v>
      </c>
      <c r="I201" s="154">
        <f ca="1">ORÇAMENTO!X201</f>
        <v>0</v>
      </c>
      <c r="J201" s="427">
        <f t="shared" ca="1" si="26"/>
        <v>0</v>
      </c>
      <c r="K201" s="151">
        <f t="shared" ca="1" si="27"/>
        <v>0</v>
      </c>
      <c r="L201" s="428">
        <f t="shared" ca="1" si="28"/>
        <v>0</v>
      </c>
      <c r="M201" s="429">
        <f ca="1">IF($A201="S",VTOTALBM,IF($A201=0,0,ROUND(SomaAgrupBM,15-13*ORÇAMENTO!$AF$11)))</f>
        <v>0</v>
      </c>
      <c r="N201" s="430">
        <f t="shared" ca="1" si="29"/>
        <v>0</v>
      </c>
      <c r="O201" s="154">
        <f ca="1">IF($A201="S",VTOTALBM,IF($A201=0,0,ROUND(SomaAgrupBM,15-13*ORÇAMENTO!$AF$11)))</f>
        <v>0</v>
      </c>
      <c r="Q201" s="431"/>
      <c r="R201" s="432"/>
      <c r="T201" s="146" t="str">
        <f t="shared" ca="1" si="30"/>
        <v/>
      </c>
      <c r="U201" s="206" t="str">
        <f t="shared" ca="1" si="31"/>
        <v/>
      </c>
      <c r="V201" s="207" t="str">
        <f t="shared" ca="1" si="32"/>
        <v/>
      </c>
      <c r="W201" s="595">
        <f ca="1">IF($Y201&gt;0,CHOOSE(MATCH(RegimeExecucao,{"Unitário","Global"},0),IF($A201="S",$Y201/$X201,""),($Y201/$X201)*100),0)</f>
        <v>0</v>
      </c>
      <c r="X201" s="433" t="str">
        <f ca="1">IF($Y201&gt;0,CHOOSE(MATCH(RegimeExecucao,{"Unitário","Global"},0),IF($A201="S",ROUND($H201,ORÇAMENTO!$AF$10),""),ROUND($I201,ORÇAMENTO!$AF$11)),"")</f>
        <v/>
      </c>
      <c r="Y201" s="433">
        <f t="shared" ca="1" si="33"/>
        <v>0</v>
      </c>
      <c r="Z201" s="434"/>
      <c r="AB201" s="431"/>
      <c r="AC201" s="569"/>
      <c r="AD201" s="569"/>
      <c r="AE201" s="569"/>
      <c r="AF201" s="569"/>
      <c r="AG201" s="569"/>
      <c r="AH201" s="569"/>
      <c r="AI201" s="569"/>
      <c r="AJ201" s="569"/>
      <c r="AK201" s="569"/>
      <c r="AL201" s="569"/>
      <c r="AM201" s="432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3" t="str">
        <f t="shared" ca="1" si="23"/>
        <v/>
      </c>
      <c r="D202" s="146" t="str">
        <f ca="1">ORÇAMENTO!O202</f>
        <v>-</v>
      </c>
      <c r="E202" s="206" t="str">
        <f t="shared" ca="1" si="24"/>
        <v>(abra o arquivo 'Referência 05-2023.xls)</v>
      </c>
      <c r="F202" s="207" t="str">
        <f t="shared" ca="1" si="25"/>
        <v>-</v>
      </c>
      <c r="G202" s="151">
        <f ca="1">IF(RegimeExecucao="Global","",ORÇAMENTO!T202)</f>
        <v>0</v>
      </c>
      <c r="H202" s="151">
        <f ca="1">IF(RegimeExecucao="Global","",ORÇAMENTO!W202)</f>
        <v>0</v>
      </c>
      <c r="I202" s="154">
        <f ca="1">ORÇAMENTO!X202</f>
        <v>0</v>
      </c>
      <c r="J202" s="427">
        <f t="shared" ca="1" si="26"/>
        <v>0</v>
      </c>
      <c r="K202" s="151">
        <f t="shared" ca="1" si="27"/>
        <v>0</v>
      </c>
      <c r="L202" s="428">
        <f t="shared" ca="1" si="28"/>
        <v>0</v>
      </c>
      <c r="M202" s="429">
        <f ca="1">IF($A202="S",VTOTALBM,IF($A202=0,0,ROUND(SomaAgrupBM,15-13*ORÇAMENTO!$AF$11)))</f>
        <v>0</v>
      </c>
      <c r="N202" s="430">
        <f t="shared" ca="1" si="29"/>
        <v>0</v>
      </c>
      <c r="O202" s="154">
        <f ca="1">IF($A202="S",VTOTALBM,IF($A202=0,0,ROUND(SomaAgrupBM,15-13*ORÇAMENTO!$AF$11)))</f>
        <v>0</v>
      </c>
      <c r="Q202" s="431"/>
      <c r="R202" s="432"/>
      <c r="T202" s="146" t="str">
        <f t="shared" ca="1" si="30"/>
        <v/>
      </c>
      <c r="U202" s="206" t="str">
        <f t="shared" ca="1" si="31"/>
        <v/>
      </c>
      <c r="V202" s="207" t="str">
        <f t="shared" ca="1" si="32"/>
        <v/>
      </c>
      <c r="W202" s="595">
        <f ca="1">IF($Y202&gt;0,CHOOSE(MATCH(RegimeExecucao,{"Unitário","Global"},0),IF($A202="S",$Y202/$X202,""),($Y202/$X202)*100),0)</f>
        <v>0</v>
      </c>
      <c r="X202" s="433" t="str">
        <f ca="1">IF($Y202&gt;0,CHOOSE(MATCH(RegimeExecucao,{"Unitário","Global"},0),IF($A202="S",ROUND($H202,ORÇAMENTO!$AF$10),""),ROUND($I202,ORÇAMENTO!$AF$11)),"")</f>
        <v/>
      </c>
      <c r="Y202" s="433">
        <f t="shared" ca="1" si="33"/>
        <v>0</v>
      </c>
      <c r="Z202" s="434"/>
      <c r="AB202" s="431"/>
      <c r="AC202" s="569"/>
      <c r="AD202" s="569"/>
      <c r="AE202" s="569"/>
      <c r="AF202" s="569"/>
      <c r="AG202" s="569"/>
      <c r="AH202" s="569"/>
      <c r="AI202" s="569"/>
      <c r="AJ202" s="569"/>
      <c r="AK202" s="569"/>
      <c r="AL202" s="569"/>
      <c r="AM202" s="432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3" t="str">
        <f t="shared" ca="1" si="23"/>
        <v/>
      </c>
      <c r="D203" s="146" t="str">
        <f ca="1">ORÇAMENTO!O203</f>
        <v>-</v>
      </c>
      <c r="E203" s="206" t="str">
        <f t="shared" ca="1" si="24"/>
        <v>(abra o arquivo 'Referência 05-2023.xls)</v>
      </c>
      <c r="F203" s="207" t="str">
        <f t="shared" ca="1" si="25"/>
        <v>-</v>
      </c>
      <c r="G203" s="151">
        <f ca="1">IF(RegimeExecucao="Global","",ORÇAMENTO!T203)</f>
        <v>0</v>
      </c>
      <c r="H203" s="151">
        <f ca="1">IF(RegimeExecucao="Global","",ORÇAMENTO!W203)</f>
        <v>0</v>
      </c>
      <c r="I203" s="154">
        <f ca="1">ORÇAMENTO!X203</f>
        <v>0</v>
      </c>
      <c r="J203" s="427">
        <f t="shared" ca="1" si="26"/>
        <v>0</v>
      </c>
      <c r="K203" s="151">
        <f t="shared" ca="1" si="27"/>
        <v>0</v>
      </c>
      <c r="L203" s="428">
        <f t="shared" ca="1" si="28"/>
        <v>0</v>
      </c>
      <c r="M203" s="429">
        <f ca="1">IF($A203="S",VTOTALBM,IF($A203=0,0,ROUND(SomaAgrupBM,15-13*ORÇAMENTO!$AF$11)))</f>
        <v>0</v>
      </c>
      <c r="N203" s="430">
        <f t="shared" ca="1" si="29"/>
        <v>0</v>
      </c>
      <c r="O203" s="154">
        <f ca="1">IF($A203="S",VTOTALBM,IF($A203=0,0,ROUND(SomaAgrupBM,15-13*ORÇAMENTO!$AF$11)))</f>
        <v>0</v>
      </c>
      <c r="Q203" s="431"/>
      <c r="R203" s="432"/>
      <c r="T203" s="146" t="str">
        <f t="shared" ca="1" si="30"/>
        <v/>
      </c>
      <c r="U203" s="206" t="str">
        <f t="shared" ca="1" si="31"/>
        <v/>
      </c>
      <c r="V203" s="207" t="str">
        <f t="shared" ca="1" si="32"/>
        <v/>
      </c>
      <c r="W203" s="595">
        <f ca="1">IF($Y203&gt;0,CHOOSE(MATCH(RegimeExecucao,{"Unitário","Global"},0),IF($A203="S",$Y203/$X203,""),($Y203/$X203)*100),0)</f>
        <v>0</v>
      </c>
      <c r="X203" s="433" t="str">
        <f ca="1">IF($Y203&gt;0,CHOOSE(MATCH(RegimeExecucao,{"Unitário","Global"},0),IF($A203="S",ROUND($H203,ORÇAMENTO!$AF$10),""),ROUND($I203,ORÇAMENTO!$AF$11)),"")</f>
        <v/>
      </c>
      <c r="Y203" s="433">
        <f t="shared" ca="1" si="33"/>
        <v>0</v>
      </c>
      <c r="Z203" s="434"/>
      <c r="AB203" s="431"/>
      <c r="AC203" s="569"/>
      <c r="AD203" s="569"/>
      <c r="AE203" s="569"/>
      <c r="AF203" s="569"/>
      <c r="AG203" s="569"/>
      <c r="AH203" s="569"/>
      <c r="AI203" s="569"/>
      <c r="AJ203" s="569"/>
      <c r="AK203" s="569"/>
      <c r="AL203" s="569"/>
      <c r="AM203" s="432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3" t="str">
        <f t="shared" ca="1" si="23"/>
        <v/>
      </c>
      <c r="D204" s="146" t="str">
        <f ca="1">ORÇAMENTO!O204</f>
        <v>-</v>
      </c>
      <c r="E204" s="206" t="str">
        <f t="shared" ca="1" si="24"/>
        <v>(abra o arquivo 'Referência 05-2023.xls)</v>
      </c>
      <c r="F204" s="207" t="str">
        <f t="shared" ca="1" si="25"/>
        <v>-</v>
      </c>
      <c r="G204" s="151">
        <f ca="1">IF(RegimeExecucao="Global","",ORÇAMENTO!T204)</f>
        <v>0</v>
      </c>
      <c r="H204" s="151">
        <f ca="1">IF(RegimeExecucao="Global","",ORÇAMENTO!W204)</f>
        <v>0</v>
      </c>
      <c r="I204" s="154">
        <f ca="1">ORÇAMENTO!X204</f>
        <v>0</v>
      </c>
      <c r="J204" s="427">
        <f t="shared" ca="1" si="26"/>
        <v>0</v>
      </c>
      <c r="K204" s="151">
        <f t="shared" ca="1" si="27"/>
        <v>0</v>
      </c>
      <c r="L204" s="428">
        <f t="shared" ca="1" si="28"/>
        <v>0</v>
      </c>
      <c r="M204" s="429">
        <f ca="1">IF($A204="S",VTOTALBM,IF($A204=0,0,ROUND(SomaAgrupBM,15-13*ORÇAMENTO!$AF$11)))</f>
        <v>0</v>
      </c>
      <c r="N204" s="430">
        <f t="shared" ca="1" si="29"/>
        <v>0</v>
      </c>
      <c r="O204" s="154">
        <f ca="1">IF($A204="S",VTOTALBM,IF($A204=0,0,ROUND(SomaAgrupBM,15-13*ORÇAMENTO!$AF$11)))</f>
        <v>0</v>
      </c>
      <c r="Q204" s="431"/>
      <c r="R204" s="432"/>
      <c r="T204" s="146" t="str">
        <f t="shared" ca="1" si="30"/>
        <v/>
      </c>
      <c r="U204" s="206" t="str">
        <f t="shared" ca="1" si="31"/>
        <v/>
      </c>
      <c r="V204" s="207" t="str">
        <f t="shared" ca="1" si="32"/>
        <v/>
      </c>
      <c r="W204" s="595">
        <f ca="1">IF($Y204&gt;0,CHOOSE(MATCH(RegimeExecucao,{"Unitário","Global"},0),IF($A204="S",$Y204/$X204,""),($Y204/$X204)*100),0)</f>
        <v>0</v>
      </c>
      <c r="X204" s="433" t="str">
        <f ca="1">IF($Y204&gt;0,CHOOSE(MATCH(RegimeExecucao,{"Unitário","Global"},0),IF($A204="S",ROUND($H204,ORÇAMENTO!$AF$10),""),ROUND($I204,ORÇAMENTO!$AF$11)),"")</f>
        <v/>
      </c>
      <c r="Y204" s="433">
        <f t="shared" ca="1" si="33"/>
        <v>0</v>
      </c>
      <c r="Z204" s="434"/>
      <c r="AB204" s="431"/>
      <c r="AC204" s="569"/>
      <c r="AD204" s="569"/>
      <c r="AE204" s="569"/>
      <c r="AF204" s="569"/>
      <c r="AG204" s="569"/>
      <c r="AH204" s="569"/>
      <c r="AI204" s="569"/>
      <c r="AJ204" s="569"/>
      <c r="AK204" s="569"/>
      <c r="AL204" s="569"/>
      <c r="AM204" s="432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3" t="str">
        <f t="shared" ca="1" si="23"/>
        <v/>
      </c>
      <c r="D205" s="146" t="str">
        <f ca="1">ORÇAMENTO!O205</f>
        <v>-</v>
      </c>
      <c r="E205" s="206" t="str">
        <f t="shared" ca="1" si="24"/>
        <v>(abra o arquivo 'Referência 05-2023.xls)</v>
      </c>
      <c r="F205" s="207" t="str">
        <f t="shared" ca="1" si="25"/>
        <v>-</v>
      </c>
      <c r="G205" s="151">
        <f ca="1">IF(RegimeExecucao="Global","",ORÇAMENTO!T205)</f>
        <v>0</v>
      </c>
      <c r="H205" s="151">
        <f ca="1">IF(RegimeExecucao="Global","",ORÇAMENTO!W205)</f>
        <v>0</v>
      </c>
      <c r="I205" s="154">
        <f ca="1">ORÇAMENTO!X205</f>
        <v>0</v>
      </c>
      <c r="J205" s="427">
        <f t="shared" ca="1" si="26"/>
        <v>0</v>
      </c>
      <c r="K205" s="151">
        <f t="shared" ca="1" si="27"/>
        <v>0</v>
      </c>
      <c r="L205" s="428">
        <f t="shared" ca="1" si="28"/>
        <v>0</v>
      </c>
      <c r="M205" s="429">
        <f ca="1">IF($A205="S",VTOTALBM,IF($A205=0,0,ROUND(SomaAgrupBM,15-13*ORÇAMENTO!$AF$11)))</f>
        <v>0</v>
      </c>
      <c r="N205" s="430">
        <f t="shared" ca="1" si="29"/>
        <v>0</v>
      </c>
      <c r="O205" s="154">
        <f ca="1">IF($A205="S",VTOTALBM,IF($A205=0,0,ROUND(SomaAgrupBM,15-13*ORÇAMENTO!$AF$11)))</f>
        <v>0</v>
      </c>
      <c r="Q205" s="431"/>
      <c r="R205" s="432"/>
      <c r="T205" s="146" t="str">
        <f t="shared" ca="1" si="30"/>
        <v/>
      </c>
      <c r="U205" s="206" t="str">
        <f t="shared" ca="1" si="31"/>
        <v/>
      </c>
      <c r="V205" s="207" t="str">
        <f t="shared" ca="1" si="32"/>
        <v/>
      </c>
      <c r="W205" s="595">
        <f ca="1">IF($Y205&gt;0,CHOOSE(MATCH(RegimeExecucao,{"Unitário","Global"},0),IF($A205="S",$Y205/$X205,""),($Y205/$X205)*100),0)</f>
        <v>0</v>
      </c>
      <c r="X205" s="433" t="str">
        <f ca="1">IF($Y205&gt;0,CHOOSE(MATCH(RegimeExecucao,{"Unitário","Global"},0),IF($A205="S",ROUND($H205,ORÇAMENTO!$AF$10),""),ROUND($I205,ORÇAMENTO!$AF$11)),"")</f>
        <v/>
      </c>
      <c r="Y205" s="433">
        <f t="shared" ca="1" si="33"/>
        <v>0</v>
      </c>
      <c r="Z205" s="434"/>
      <c r="AB205" s="431"/>
      <c r="AC205" s="569"/>
      <c r="AD205" s="569"/>
      <c r="AE205" s="569"/>
      <c r="AF205" s="569"/>
      <c r="AG205" s="569"/>
      <c r="AH205" s="569"/>
      <c r="AI205" s="569"/>
      <c r="AJ205" s="569"/>
      <c r="AK205" s="569"/>
      <c r="AL205" s="569"/>
      <c r="AM205" s="432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3" t="str">
        <f t="shared" ca="1" si="23"/>
        <v/>
      </c>
      <c r="D206" s="146" t="str">
        <f ca="1">ORÇAMENTO!O206</f>
        <v>-</v>
      </c>
      <c r="E206" s="206" t="str">
        <f t="shared" ca="1" si="24"/>
        <v>(abra o arquivo 'Referência 05-2023.xls)</v>
      </c>
      <c r="F206" s="207" t="str">
        <f t="shared" ca="1" si="25"/>
        <v>-</v>
      </c>
      <c r="G206" s="151">
        <f ca="1">IF(RegimeExecucao="Global","",ORÇAMENTO!T206)</f>
        <v>0</v>
      </c>
      <c r="H206" s="151">
        <f ca="1">IF(RegimeExecucao="Global","",ORÇAMENTO!W206)</f>
        <v>0</v>
      </c>
      <c r="I206" s="154">
        <f ca="1">ORÇAMENTO!X206</f>
        <v>0</v>
      </c>
      <c r="J206" s="427">
        <f t="shared" ca="1" si="26"/>
        <v>0</v>
      </c>
      <c r="K206" s="151">
        <f t="shared" ca="1" si="27"/>
        <v>0</v>
      </c>
      <c r="L206" s="428">
        <f t="shared" ca="1" si="28"/>
        <v>0</v>
      </c>
      <c r="M206" s="429">
        <f ca="1">IF($A206="S",VTOTALBM,IF($A206=0,0,ROUND(SomaAgrupBM,15-13*ORÇAMENTO!$AF$11)))</f>
        <v>0</v>
      </c>
      <c r="N206" s="430">
        <f t="shared" ca="1" si="29"/>
        <v>0</v>
      </c>
      <c r="O206" s="154">
        <f ca="1">IF($A206="S",VTOTALBM,IF($A206=0,0,ROUND(SomaAgrupBM,15-13*ORÇAMENTO!$AF$11)))</f>
        <v>0</v>
      </c>
      <c r="Q206" s="431"/>
      <c r="R206" s="432"/>
      <c r="T206" s="146" t="str">
        <f t="shared" ca="1" si="30"/>
        <v/>
      </c>
      <c r="U206" s="206" t="str">
        <f t="shared" ca="1" si="31"/>
        <v/>
      </c>
      <c r="V206" s="207" t="str">
        <f t="shared" ca="1" si="32"/>
        <v/>
      </c>
      <c r="W206" s="595">
        <f ca="1">IF($Y206&gt;0,CHOOSE(MATCH(RegimeExecucao,{"Unitário","Global"},0),IF($A206="S",$Y206/$X206,""),($Y206/$X206)*100),0)</f>
        <v>0</v>
      </c>
      <c r="X206" s="433" t="str">
        <f ca="1">IF($Y206&gt;0,CHOOSE(MATCH(RegimeExecucao,{"Unitário","Global"},0),IF($A206="S",ROUND($H206,ORÇAMENTO!$AF$10),""),ROUND($I206,ORÇAMENTO!$AF$11)),"")</f>
        <v/>
      </c>
      <c r="Y206" s="433">
        <f t="shared" ca="1" si="33"/>
        <v>0</v>
      </c>
      <c r="Z206" s="434"/>
      <c r="AB206" s="431"/>
      <c r="AC206" s="569"/>
      <c r="AD206" s="569"/>
      <c r="AE206" s="569"/>
      <c r="AF206" s="569"/>
      <c r="AG206" s="569"/>
      <c r="AH206" s="569"/>
      <c r="AI206" s="569"/>
      <c r="AJ206" s="569"/>
      <c r="AK206" s="569"/>
      <c r="AL206" s="569"/>
      <c r="AM206" s="432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3" t="str">
        <f t="shared" ca="1" si="23"/>
        <v/>
      </c>
      <c r="D207" s="146" t="str">
        <f ca="1">ORÇAMENTO!O207</f>
        <v>-</v>
      </c>
      <c r="E207" s="206" t="str">
        <f t="shared" ca="1" si="24"/>
        <v>(abra o arquivo 'Referência 05-2023.xls)</v>
      </c>
      <c r="F207" s="207" t="str">
        <f t="shared" ca="1" si="25"/>
        <v>-</v>
      </c>
      <c r="G207" s="151">
        <f ca="1">IF(RegimeExecucao="Global","",ORÇAMENTO!T207)</f>
        <v>0</v>
      </c>
      <c r="H207" s="151">
        <f ca="1">IF(RegimeExecucao="Global","",ORÇAMENTO!W207)</f>
        <v>0</v>
      </c>
      <c r="I207" s="154">
        <f ca="1">ORÇAMENTO!X207</f>
        <v>0</v>
      </c>
      <c r="J207" s="427">
        <f t="shared" ca="1" si="26"/>
        <v>0</v>
      </c>
      <c r="K207" s="151">
        <f t="shared" ca="1" si="27"/>
        <v>0</v>
      </c>
      <c r="L207" s="428">
        <f t="shared" ca="1" si="28"/>
        <v>0</v>
      </c>
      <c r="M207" s="429">
        <f ca="1">IF($A207="S",VTOTALBM,IF($A207=0,0,ROUND(SomaAgrupBM,15-13*ORÇAMENTO!$AF$11)))</f>
        <v>0</v>
      </c>
      <c r="N207" s="430">
        <f t="shared" ca="1" si="29"/>
        <v>0</v>
      </c>
      <c r="O207" s="154">
        <f ca="1">IF($A207="S",VTOTALBM,IF($A207=0,0,ROUND(SomaAgrupBM,15-13*ORÇAMENTO!$AF$11)))</f>
        <v>0</v>
      </c>
      <c r="Q207" s="431"/>
      <c r="R207" s="432"/>
      <c r="T207" s="146" t="str">
        <f t="shared" ca="1" si="30"/>
        <v/>
      </c>
      <c r="U207" s="206" t="str">
        <f t="shared" ca="1" si="31"/>
        <v/>
      </c>
      <c r="V207" s="207" t="str">
        <f t="shared" ca="1" si="32"/>
        <v/>
      </c>
      <c r="W207" s="595">
        <f ca="1">IF($Y207&gt;0,CHOOSE(MATCH(RegimeExecucao,{"Unitário","Global"},0),IF($A207="S",$Y207/$X207,""),($Y207/$X207)*100),0)</f>
        <v>0</v>
      </c>
      <c r="X207" s="433" t="str">
        <f ca="1">IF($Y207&gt;0,CHOOSE(MATCH(RegimeExecucao,{"Unitário","Global"},0),IF($A207="S",ROUND($H207,ORÇAMENTO!$AF$10),""),ROUND($I207,ORÇAMENTO!$AF$11)),"")</f>
        <v/>
      </c>
      <c r="Y207" s="433">
        <f t="shared" ca="1" si="33"/>
        <v>0</v>
      </c>
      <c r="Z207" s="434"/>
      <c r="AB207" s="431"/>
      <c r="AC207" s="569"/>
      <c r="AD207" s="569"/>
      <c r="AE207" s="569"/>
      <c r="AF207" s="569"/>
      <c r="AG207" s="569"/>
      <c r="AH207" s="569"/>
      <c r="AI207" s="569"/>
      <c r="AJ207" s="569"/>
      <c r="AK207" s="569"/>
      <c r="AL207" s="569"/>
      <c r="AM207" s="432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3" t="str">
        <f t="shared" ref="C208:C265" ca="1" si="34">IF(OR($I208&gt;0,$A208=1,$A208=2,$A208=3,$A208=4),"F","")</f>
        <v/>
      </c>
      <c r="D208" s="146" t="str">
        <f ca="1">ORÇAMENTO!O208</f>
        <v>-</v>
      </c>
      <c r="E208" s="206" t="str">
        <f t="shared" ref="E208:E265" ca="1" si="35">ORÇAMENTO.Descricao</f>
        <v>(abra o arquivo 'Referência 05-2023.xls)</v>
      </c>
      <c r="F208" s="207" t="str">
        <f t="shared" ref="F208:F265" ca="1" si="36">IF(RegimeExecucao="Global","",ORÇAMENTO.Unidade)</f>
        <v>-</v>
      </c>
      <c r="G208" s="151">
        <f ca="1">IF(RegimeExecucao="Global","",ORÇAMENTO!T208)</f>
        <v>0</v>
      </c>
      <c r="H208" s="151">
        <f ca="1">IF(RegimeExecucao="Global","",ORÇAMENTO!W208)</f>
        <v>0</v>
      </c>
      <c r="I208" s="154">
        <f ca="1">ORÇAMENTO!X208</f>
        <v>0</v>
      </c>
      <c r="J208" s="427">
        <f t="shared" ref="J208:J265" ca="1" si="37">IF($A208="S",IF(CAIXA.Modo,BM.AFAnterior,BM.MEDAnterior),IF(AND(RegimeExecucao="Global",$I208&gt;0,COUNTIF($AB$13:$AM$13,BM.medicao-1)&gt;0),M208/$I208*100,0))</f>
        <v>0</v>
      </c>
      <c r="K208" s="151">
        <f t="shared" ref="K208:K265" ca="1" si="38">L208-J208</f>
        <v>0</v>
      </c>
      <c r="L208" s="428">
        <f t="shared" ref="L208:L265" ca="1" si="39">IF($A208="S",IF(CAIXA.Modo,BM.AFAcumulado,BM.MEDAcumulado),IF(AND(RegimeExecucao="Global",$I208&gt;0,COUNTIF($AB$13:$AM$13,BM.medicao)&gt;0),O208/$I208*100,0))</f>
        <v>0</v>
      </c>
      <c r="M208" s="429">
        <f ca="1">IF($A208="S",VTOTALBM,IF($A208=0,0,ROUND(SomaAgrupBM,15-13*ORÇAMENTO!$AF$11)))</f>
        <v>0</v>
      </c>
      <c r="N208" s="430">
        <f t="shared" ref="N208:N265" ca="1" si="40">O208-M208</f>
        <v>0</v>
      </c>
      <c r="O208" s="154">
        <f ca="1">IF($A208="S",VTOTALBM,IF($A208=0,0,ROUND(SomaAgrupBM,15-13*ORÇAMENTO!$AF$11)))</f>
        <v>0</v>
      </c>
      <c r="Q208" s="431"/>
      <c r="R208" s="432"/>
      <c r="T208" s="146" t="str">
        <f t="shared" ref="T208:T265" ca="1" si="41">IF($W208&gt;0,$D208,"")</f>
        <v/>
      </c>
      <c r="U208" s="206" t="str">
        <f t="shared" ref="U208:U265" ca="1" si="42">IF($W208&gt;0,$E208,"")</f>
        <v/>
      </c>
      <c r="V208" s="207" t="str">
        <f t="shared" ref="V208:V265" ca="1" si="43">IF(AND($W208&gt;0,RegimeExecucao="Unitário"),$F208,"")</f>
        <v/>
      </c>
      <c r="W208" s="595">
        <f ca="1">IF($Y208&gt;0,CHOOSE(MATCH(RegimeExecucao,{"Unitário","Global"},0),IF($A208="S",$Y208/$X208,""),($Y208/$X208)*100),0)</f>
        <v>0</v>
      </c>
      <c r="X208" s="433" t="str">
        <f ca="1">IF($Y208&gt;0,CHOOSE(MATCH(RegimeExecucao,{"Unitário","Global"},0),IF($A208="S",ROUND($H208,ORÇAMENTO!$AF$10),""),ROUND($I208,ORÇAMENTO!$AF$11)),"")</f>
        <v/>
      </c>
      <c r="Y208" s="433">
        <f t="shared" ref="Y208:Y265" ca="1" si="44">AO208-O208</f>
        <v>0</v>
      </c>
      <c r="Z208" s="434"/>
      <c r="AB208" s="431"/>
      <c r="AC208" s="569"/>
      <c r="AD208" s="569"/>
      <c r="AE208" s="569"/>
      <c r="AF208" s="569"/>
      <c r="AG208" s="569"/>
      <c r="AH208" s="569"/>
      <c r="AI208" s="569"/>
      <c r="AJ208" s="569"/>
      <c r="AK208" s="569"/>
      <c r="AL208" s="569"/>
      <c r="AM208" s="432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3" t="str">
        <f t="shared" ca="1" si="34"/>
        <v/>
      </c>
      <c r="D209" s="146" t="str">
        <f ca="1">ORÇAMENTO!O209</f>
        <v>-</v>
      </c>
      <c r="E209" s="206" t="str">
        <f t="shared" ca="1" si="35"/>
        <v>(abra o arquivo 'Referência 05-2023.xls)</v>
      </c>
      <c r="F209" s="207" t="str">
        <f t="shared" ca="1" si="36"/>
        <v>-</v>
      </c>
      <c r="G209" s="151">
        <f ca="1">IF(RegimeExecucao="Global","",ORÇAMENTO!T209)</f>
        <v>0</v>
      </c>
      <c r="H209" s="151">
        <f ca="1">IF(RegimeExecucao="Global","",ORÇAMENTO!W209)</f>
        <v>0</v>
      </c>
      <c r="I209" s="154">
        <f ca="1">ORÇAMENTO!X209</f>
        <v>0</v>
      </c>
      <c r="J209" s="427">
        <f t="shared" ca="1" si="37"/>
        <v>0</v>
      </c>
      <c r="K209" s="151">
        <f t="shared" ca="1" si="38"/>
        <v>0</v>
      </c>
      <c r="L209" s="428">
        <f t="shared" ca="1" si="39"/>
        <v>0</v>
      </c>
      <c r="M209" s="429">
        <f ca="1">IF($A209="S",VTOTALBM,IF($A209=0,0,ROUND(SomaAgrupBM,15-13*ORÇAMENTO!$AF$11)))</f>
        <v>0</v>
      </c>
      <c r="N209" s="430">
        <f t="shared" ca="1" si="40"/>
        <v>0</v>
      </c>
      <c r="O209" s="154">
        <f ca="1">IF($A209="S",VTOTALBM,IF($A209=0,0,ROUND(SomaAgrupBM,15-13*ORÇAMENTO!$AF$11)))</f>
        <v>0</v>
      </c>
      <c r="Q209" s="431"/>
      <c r="R209" s="432"/>
      <c r="T209" s="146" t="str">
        <f t="shared" ca="1" si="41"/>
        <v/>
      </c>
      <c r="U209" s="206" t="str">
        <f t="shared" ca="1" si="42"/>
        <v/>
      </c>
      <c r="V209" s="207" t="str">
        <f t="shared" ca="1" si="43"/>
        <v/>
      </c>
      <c r="W209" s="595">
        <f ca="1">IF($Y209&gt;0,CHOOSE(MATCH(RegimeExecucao,{"Unitário","Global"},0),IF($A209="S",$Y209/$X209,""),($Y209/$X209)*100),0)</f>
        <v>0</v>
      </c>
      <c r="X209" s="433" t="str">
        <f ca="1">IF($Y209&gt;0,CHOOSE(MATCH(RegimeExecucao,{"Unitário","Global"},0),IF($A209="S",ROUND($H209,ORÇAMENTO!$AF$10),""),ROUND($I209,ORÇAMENTO!$AF$11)),"")</f>
        <v/>
      </c>
      <c r="Y209" s="433">
        <f t="shared" ca="1" si="44"/>
        <v>0</v>
      </c>
      <c r="Z209" s="434"/>
      <c r="AB209" s="431"/>
      <c r="AC209" s="569"/>
      <c r="AD209" s="569"/>
      <c r="AE209" s="569"/>
      <c r="AF209" s="569"/>
      <c r="AG209" s="569"/>
      <c r="AH209" s="569"/>
      <c r="AI209" s="569"/>
      <c r="AJ209" s="569"/>
      <c r="AK209" s="569"/>
      <c r="AL209" s="569"/>
      <c r="AM209" s="432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3" t="str">
        <f t="shared" ca="1" si="34"/>
        <v/>
      </c>
      <c r="D210" s="146" t="str">
        <f ca="1">ORÇAMENTO!O210</f>
        <v>-</v>
      </c>
      <c r="E210" s="206" t="str">
        <f t="shared" ca="1" si="35"/>
        <v>(abra o arquivo 'Referência 05-2023.xls)</v>
      </c>
      <c r="F210" s="207" t="str">
        <f t="shared" ca="1" si="36"/>
        <v>-</v>
      </c>
      <c r="G210" s="151">
        <f ca="1">IF(RegimeExecucao="Global","",ORÇAMENTO!T210)</f>
        <v>0</v>
      </c>
      <c r="H210" s="151">
        <f ca="1">IF(RegimeExecucao="Global","",ORÇAMENTO!W210)</f>
        <v>0</v>
      </c>
      <c r="I210" s="154">
        <f ca="1">ORÇAMENTO!X210</f>
        <v>0</v>
      </c>
      <c r="J210" s="427">
        <f t="shared" ca="1" si="37"/>
        <v>0</v>
      </c>
      <c r="K210" s="151">
        <f t="shared" ca="1" si="38"/>
        <v>0</v>
      </c>
      <c r="L210" s="428">
        <f t="shared" ca="1" si="39"/>
        <v>0</v>
      </c>
      <c r="M210" s="429">
        <f ca="1">IF($A210="S",VTOTALBM,IF($A210=0,0,ROUND(SomaAgrupBM,15-13*ORÇAMENTO!$AF$11)))</f>
        <v>0</v>
      </c>
      <c r="N210" s="430">
        <f t="shared" ca="1" si="40"/>
        <v>0</v>
      </c>
      <c r="O210" s="154">
        <f ca="1">IF($A210="S",VTOTALBM,IF($A210=0,0,ROUND(SomaAgrupBM,15-13*ORÇAMENTO!$AF$11)))</f>
        <v>0</v>
      </c>
      <c r="Q210" s="431"/>
      <c r="R210" s="432"/>
      <c r="T210" s="146" t="str">
        <f t="shared" ca="1" si="41"/>
        <v/>
      </c>
      <c r="U210" s="206" t="str">
        <f t="shared" ca="1" si="42"/>
        <v/>
      </c>
      <c r="V210" s="207" t="str">
        <f t="shared" ca="1" si="43"/>
        <v/>
      </c>
      <c r="W210" s="595">
        <f ca="1">IF($Y210&gt;0,CHOOSE(MATCH(RegimeExecucao,{"Unitário","Global"},0),IF($A210="S",$Y210/$X210,""),($Y210/$X210)*100),0)</f>
        <v>0</v>
      </c>
      <c r="X210" s="433" t="str">
        <f ca="1">IF($Y210&gt;0,CHOOSE(MATCH(RegimeExecucao,{"Unitário","Global"},0),IF($A210="S",ROUND($H210,ORÇAMENTO!$AF$10),""),ROUND($I210,ORÇAMENTO!$AF$11)),"")</f>
        <v/>
      </c>
      <c r="Y210" s="433">
        <f t="shared" ca="1" si="44"/>
        <v>0</v>
      </c>
      <c r="Z210" s="434"/>
      <c r="AB210" s="431"/>
      <c r="AC210" s="569"/>
      <c r="AD210" s="569"/>
      <c r="AE210" s="569"/>
      <c r="AF210" s="569"/>
      <c r="AG210" s="569"/>
      <c r="AH210" s="569"/>
      <c r="AI210" s="569"/>
      <c r="AJ210" s="569"/>
      <c r="AK210" s="569"/>
      <c r="AL210" s="569"/>
      <c r="AM210" s="432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3" t="str">
        <f t="shared" ca="1" si="34"/>
        <v/>
      </c>
      <c r="D211" s="146" t="str">
        <f ca="1">ORÇAMENTO!O211</f>
        <v>-</v>
      </c>
      <c r="E211" s="206" t="str">
        <f t="shared" ca="1" si="35"/>
        <v>(abra o arquivo 'Referência 05-2023.xls)</v>
      </c>
      <c r="F211" s="207" t="str">
        <f t="shared" ca="1" si="36"/>
        <v>-</v>
      </c>
      <c r="G211" s="151">
        <f ca="1">IF(RegimeExecucao="Global","",ORÇAMENTO!T211)</f>
        <v>0</v>
      </c>
      <c r="H211" s="151">
        <f ca="1">IF(RegimeExecucao="Global","",ORÇAMENTO!W211)</f>
        <v>0</v>
      </c>
      <c r="I211" s="154">
        <f ca="1">ORÇAMENTO!X211</f>
        <v>0</v>
      </c>
      <c r="J211" s="427">
        <f t="shared" ca="1" si="37"/>
        <v>0</v>
      </c>
      <c r="K211" s="151">
        <f t="shared" ca="1" si="38"/>
        <v>0</v>
      </c>
      <c r="L211" s="428">
        <f t="shared" ca="1" si="39"/>
        <v>0</v>
      </c>
      <c r="M211" s="429">
        <f ca="1">IF($A211="S",VTOTALBM,IF($A211=0,0,ROUND(SomaAgrupBM,15-13*ORÇAMENTO!$AF$11)))</f>
        <v>0</v>
      </c>
      <c r="N211" s="430">
        <f t="shared" ca="1" si="40"/>
        <v>0</v>
      </c>
      <c r="O211" s="154">
        <f ca="1">IF($A211="S",VTOTALBM,IF($A211=0,0,ROUND(SomaAgrupBM,15-13*ORÇAMENTO!$AF$11)))</f>
        <v>0</v>
      </c>
      <c r="Q211" s="431"/>
      <c r="R211" s="432"/>
      <c r="T211" s="146" t="str">
        <f t="shared" ca="1" si="41"/>
        <v/>
      </c>
      <c r="U211" s="206" t="str">
        <f t="shared" ca="1" si="42"/>
        <v/>
      </c>
      <c r="V211" s="207" t="str">
        <f t="shared" ca="1" si="43"/>
        <v/>
      </c>
      <c r="W211" s="595">
        <f ca="1">IF($Y211&gt;0,CHOOSE(MATCH(RegimeExecucao,{"Unitário","Global"},0),IF($A211="S",$Y211/$X211,""),($Y211/$X211)*100),0)</f>
        <v>0</v>
      </c>
      <c r="X211" s="433" t="str">
        <f ca="1">IF($Y211&gt;0,CHOOSE(MATCH(RegimeExecucao,{"Unitário","Global"},0),IF($A211="S",ROUND($H211,ORÇAMENTO!$AF$10),""),ROUND($I211,ORÇAMENTO!$AF$11)),"")</f>
        <v/>
      </c>
      <c r="Y211" s="433">
        <f t="shared" ca="1" si="44"/>
        <v>0</v>
      </c>
      <c r="Z211" s="434"/>
      <c r="AB211" s="431"/>
      <c r="AC211" s="569"/>
      <c r="AD211" s="569"/>
      <c r="AE211" s="569"/>
      <c r="AF211" s="569"/>
      <c r="AG211" s="569"/>
      <c r="AH211" s="569"/>
      <c r="AI211" s="569"/>
      <c r="AJ211" s="569"/>
      <c r="AK211" s="569"/>
      <c r="AL211" s="569"/>
      <c r="AM211" s="432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3" t="str">
        <f t="shared" ca="1" si="34"/>
        <v/>
      </c>
      <c r="D212" s="146" t="str">
        <f ca="1">ORÇAMENTO!O212</f>
        <v>-</v>
      </c>
      <c r="E212" s="206" t="str">
        <f t="shared" ca="1" si="35"/>
        <v>(abra o arquivo 'Referência 05-2023.xls)</v>
      </c>
      <c r="F212" s="207" t="str">
        <f t="shared" ca="1" si="36"/>
        <v>-</v>
      </c>
      <c r="G212" s="151">
        <f ca="1">IF(RegimeExecucao="Global","",ORÇAMENTO!T212)</f>
        <v>0</v>
      </c>
      <c r="H212" s="151">
        <f ca="1">IF(RegimeExecucao="Global","",ORÇAMENTO!W212)</f>
        <v>0</v>
      </c>
      <c r="I212" s="154">
        <f ca="1">ORÇAMENTO!X212</f>
        <v>0</v>
      </c>
      <c r="J212" s="427">
        <f t="shared" ca="1" si="37"/>
        <v>0</v>
      </c>
      <c r="K212" s="151">
        <f t="shared" ca="1" si="38"/>
        <v>0</v>
      </c>
      <c r="L212" s="428">
        <f t="shared" ca="1" si="39"/>
        <v>0</v>
      </c>
      <c r="M212" s="429">
        <f ca="1">IF($A212="S",VTOTALBM,IF($A212=0,0,ROUND(SomaAgrupBM,15-13*ORÇAMENTO!$AF$11)))</f>
        <v>0</v>
      </c>
      <c r="N212" s="430">
        <f t="shared" ca="1" si="40"/>
        <v>0</v>
      </c>
      <c r="O212" s="154">
        <f ca="1">IF($A212="S",VTOTALBM,IF($A212=0,0,ROUND(SomaAgrupBM,15-13*ORÇAMENTO!$AF$11)))</f>
        <v>0</v>
      </c>
      <c r="Q212" s="431"/>
      <c r="R212" s="432"/>
      <c r="T212" s="146" t="str">
        <f t="shared" ca="1" si="41"/>
        <v/>
      </c>
      <c r="U212" s="206" t="str">
        <f t="shared" ca="1" si="42"/>
        <v/>
      </c>
      <c r="V212" s="207" t="str">
        <f t="shared" ca="1" si="43"/>
        <v/>
      </c>
      <c r="W212" s="595">
        <f ca="1">IF($Y212&gt;0,CHOOSE(MATCH(RegimeExecucao,{"Unitário","Global"},0),IF($A212="S",$Y212/$X212,""),($Y212/$X212)*100),0)</f>
        <v>0</v>
      </c>
      <c r="X212" s="433" t="str">
        <f ca="1">IF($Y212&gt;0,CHOOSE(MATCH(RegimeExecucao,{"Unitário","Global"},0),IF($A212="S",ROUND($H212,ORÇAMENTO!$AF$10),""),ROUND($I212,ORÇAMENTO!$AF$11)),"")</f>
        <v/>
      </c>
      <c r="Y212" s="433">
        <f t="shared" ca="1" si="44"/>
        <v>0</v>
      </c>
      <c r="Z212" s="434"/>
      <c r="AB212" s="431"/>
      <c r="AC212" s="569"/>
      <c r="AD212" s="569"/>
      <c r="AE212" s="569"/>
      <c r="AF212" s="569"/>
      <c r="AG212" s="569"/>
      <c r="AH212" s="569"/>
      <c r="AI212" s="569"/>
      <c r="AJ212" s="569"/>
      <c r="AK212" s="569"/>
      <c r="AL212" s="569"/>
      <c r="AM212" s="432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3" t="str">
        <f t="shared" ca="1" si="34"/>
        <v/>
      </c>
      <c r="D213" s="146" t="str">
        <f ca="1">ORÇAMENTO!O213</f>
        <v>-</v>
      </c>
      <c r="E213" s="206" t="str">
        <f t="shared" ca="1" si="35"/>
        <v>(abra o arquivo 'Referência 05-2023.xls)</v>
      </c>
      <c r="F213" s="207" t="str">
        <f t="shared" ca="1" si="36"/>
        <v>-</v>
      </c>
      <c r="G213" s="151">
        <f ca="1">IF(RegimeExecucao="Global","",ORÇAMENTO!T213)</f>
        <v>0</v>
      </c>
      <c r="H213" s="151">
        <f ca="1">IF(RegimeExecucao="Global","",ORÇAMENTO!W213)</f>
        <v>0</v>
      </c>
      <c r="I213" s="154">
        <f ca="1">ORÇAMENTO!X213</f>
        <v>0</v>
      </c>
      <c r="J213" s="427">
        <f t="shared" ca="1" si="37"/>
        <v>0</v>
      </c>
      <c r="K213" s="151">
        <f t="shared" ca="1" si="38"/>
        <v>0</v>
      </c>
      <c r="L213" s="428">
        <f t="shared" ca="1" si="39"/>
        <v>0</v>
      </c>
      <c r="M213" s="429">
        <f ca="1">IF($A213="S",VTOTALBM,IF($A213=0,0,ROUND(SomaAgrupBM,15-13*ORÇAMENTO!$AF$11)))</f>
        <v>0</v>
      </c>
      <c r="N213" s="430">
        <f t="shared" ca="1" si="40"/>
        <v>0</v>
      </c>
      <c r="O213" s="154">
        <f ca="1">IF($A213="S",VTOTALBM,IF($A213=0,0,ROUND(SomaAgrupBM,15-13*ORÇAMENTO!$AF$11)))</f>
        <v>0</v>
      </c>
      <c r="Q213" s="431"/>
      <c r="R213" s="432"/>
      <c r="T213" s="146" t="str">
        <f t="shared" ca="1" si="41"/>
        <v/>
      </c>
      <c r="U213" s="206" t="str">
        <f t="shared" ca="1" si="42"/>
        <v/>
      </c>
      <c r="V213" s="207" t="str">
        <f t="shared" ca="1" si="43"/>
        <v/>
      </c>
      <c r="W213" s="595">
        <f ca="1">IF($Y213&gt;0,CHOOSE(MATCH(RegimeExecucao,{"Unitário","Global"},0),IF($A213="S",$Y213/$X213,""),($Y213/$X213)*100),0)</f>
        <v>0</v>
      </c>
      <c r="X213" s="433" t="str">
        <f ca="1">IF($Y213&gt;0,CHOOSE(MATCH(RegimeExecucao,{"Unitário","Global"},0),IF($A213="S",ROUND($H213,ORÇAMENTO!$AF$10),""),ROUND($I213,ORÇAMENTO!$AF$11)),"")</f>
        <v/>
      </c>
      <c r="Y213" s="433">
        <f t="shared" ca="1" si="44"/>
        <v>0</v>
      </c>
      <c r="Z213" s="434"/>
      <c r="AB213" s="431"/>
      <c r="AC213" s="569"/>
      <c r="AD213" s="569"/>
      <c r="AE213" s="569"/>
      <c r="AF213" s="569"/>
      <c r="AG213" s="569"/>
      <c r="AH213" s="569"/>
      <c r="AI213" s="569"/>
      <c r="AJ213" s="569"/>
      <c r="AK213" s="569"/>
      <c r="AL213" s="569"/>
      <c r="AM213" s="432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3" t="str">
        <f t="shared" ca="1" si="34"/>
        <v/>
      </c>
      <c r="D214" s="146" t="str">
        <f ca="1">ORÇAMENTO!O214</f>
        <v>-</v>
      </c>
      <c r="E214" s="206" t="str">
        <f t="shared" ca="1" si="35"/>
        <v>(abra o arquivo 'Referência 05-2023.xls)</v>
      </c>
      <c r="F214" s="207" t="str">
        <f t="shared" ca="1" si="36"/>
        <v>-</v>
      </c>
      <c r="G214" s="151">
        <f ca="1">IF(RegimeExecucao="Global","",ORÇAMENTO!T214)</f>
        <v>0</v>
      </c>
      <c r="H214" s="151">
        <f ca="1">IF(RegimeExecucao="Global","",ORÇAMENTO!W214)</f>
        <v>0</v>
      </c>
      <c r="I214" s="154">
        <f ca="1">ORÇAMENTO!X214</f>
        <v>0</v>
      </c>
      <c r="J214" s="427">
        <f t="shared" ca="1" si="37"/>
        <v>0</v>
      </c>
      <c r="K214" s="151">
        <f t="shared" ca="1" si="38"/>
        <v>0</v>
      </c>
      <c r="L214" s="428">
        <f t="shared" ca="1" si="39"/>
        <v>0</v>
      </c>
      <c r="M214" s="429">
        <f ca="1">IF($A214="S",VTOTALBM,IF($A214=0,0,ROUND(SomaAgrupBM,15-13*ORÇAMENTO!$AF$11)))</f>
        <v>0</v>
      </c>
      <c r="N214" s="430">
        <f t="shared" ca="1" si="40"/>
        <v>0</v>
      </c>
      <c r="O214" s="154">
        <f ca="1">IF($A214="S",VTOTALBM,IF($A214=0,0,ROUND(SomaAgrupBM,15-13*ORÇAMENTO!$AF$11)))</f>
        <v>0</v>
      </c>
      <c r="Q214" s="431"/>
      <c r="R214" s="432"/>
      <c r="T214" s="146" t="str">
        <f t="shared" ca="1" si="41"/>
        <v/>
      </c>
      <c r="U214" s="206" t="str">
        <f t="shared" ca="1" si="42"/>
        <v/>
      </c>
      <c r="V214" s="207" t="str">
        <f t="shared" ca="1" si="43"/>
        <v/>
      </c>
      <c r="W214" s="595">
        <f ca="1">IF($Y214&gt;0,CHOOSE(MATCH(RegimeExecucao,{"Unitário","Global"},0),IF($A214="S",$Y214/$X214,""),($Y214/$X214)*100),0)</f>
        <v>0</v>
      </c>
      <c r="X214" s="433" t="str">
        <f ca="1">IF($Y214&gt;0,CHOOSE(MATCH(RegimeExecucao,{"Unitário","Global"},0),IF($A214="S",ROUND($H214,ORÇAMENTO!$AF$10),""),ROUND($I214,ORÇAMENTO!$AF$11)),"")</f>
        <v/>
      </c>
      <c r="Y214" s="433">
        <f t="shared" ca="1" si="44"/>
        <v>0</v>
      </c>
      <c r="Z214" s="434"/>
      <c r="AB214" s="431"/>
      <c r="AC214" s="569"/>
      <c r="AD214" s="569"/>
      <c r="AE214" s="569"/>
      <c r="AF214" s="569"/>
      <c r="AG214" s="569"/>
      <c r="AH214" s="569"/>
      <c r="AI214" s="569"/>
      <c r="AJ214" s="569"/>
      <c r="AK214" s="569"/>
      <c r="AL214" s="569"/>
      <c r="AM214" s="432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3" t="str">
        <f t="shared" ca="1" si="34"/>
        <v/>
      </c>
      <c r="D215" s="146" t="str">
        <f ca="1">ORÇAMENTO!O215</f>
        <v>-</v>
      </c>
      <c r="E215" s="206" t="str">
        <f t="shared" ca="1" si="35"/>
        <v>(abra o arquivo 'Referência 05-2023.xls)</v>
      </c>
      <c r="F215" s="207" t="str">
        <f t="shared" ca="1" si="36"/>
        <v>-</v>
      </c>
      <c r="G215" s="151">
        <f ca="1">IF(RegimeExecucao="Global","",ORÇAMENTO!T215)</f>
        <v>0</v>
      </c>
      <c r="H215" s="151">
        <f ca="1">IF(RegimeExecucao="Global","",ORÇAMENTO!W215)</f>
        <v>0</v>
      </c>
      <c r="I215" s="154">
        <f ca="1">ORÇAMENTO!X215</f>
        <v>0</v>
      </c>
      <c r="J215" s="427">
        <f t="shared" ca="1" si="37"/>
        <v>0</v>
      </c>
      <c r="K215" s="151">
        <f t="shared" ca="1" si="38"/>
        <v>0</v>
      </c>
      <c r="L215" s="428">
        <f t="shared" ca="1" si="39"/>
        <v>0</v>
      </c>
      <c r="M215" s="429">
        <f ca="1">IF($A215="S",VTOTALBM,IF($A215=0,0,ROUND(SomaAgrupBM,15-13*ORÇAMENTO!$AF$11)))</f>
        <v>0</v>
      </c>
      <c r="N215" s="430">
        <f t="shared" ca="1" si="40"/>
        <v>0</v>
      </c>
      <c r="O215" s="154">
        <f ca="1">IF($A215="S",VTOTALBM,IF($A215=0,0,ROUND(SomaAgrupBM,15-13*ORÇAMENTO!$AF$11)))</f>
        <v>0</v>
      </c>
      <c r="Q215" s="431"/>
      <c r="R215" s="432"/>
      <c r="T215" s="146" t="str">
        <f t="shared" ca="1" si="41"/>
        <v/>
      </c>
      <c r="U215" s="206" t="str">
        <f t="shared" ca="1" si="42"/>
        <v/>
      </c>
      <c r="V215" s="207" t="str">
        <f t="shared" ca="1" si="43"/>
        <v/>
      </c>
      <c r="W215" s="595">
        <f ca="1">IF($Y215&gt;0,CHOOSE(MATCH(RegimeExecucao,{"Unitário","Global"},0),IF($A215="S",$Y215/$X215,""),($Y215/$X215)*100),0)</f>
        <v>0</v>
      </c>
      <c r="X215" s="433" t="str">
        <f ca="1">IF($Y215&gt;0,CHOOSE(MATCH(RegimeExecucao,{"Unitário","Global"},0),IF($A215="S",ROUND($H215,ORÇAMENTO!$AF$10),""),ROUND($I215,ORÇAMENTO!$AF$11)),"")</f>
        <v/>
      </c>
      <c r="Y215" s="433">
        <f t="shared" ca="1" si="44"/>
        <v>0</v>
      </c>
      <c r="Z215" s="434"/>
      <c r="AB215" s="431"/>
      <c r="AC215" s="569"/>
      <c r="AD215" s="569"/>
      <c r="AE215" s="569"/>
      <c r="AF215" s="569"/>
      <c r="AG215" s="569"/>
      <c r="AH215" s="569"/>
      <c r="AI215" s="569"/>
      <c r="AJ215" s="569"/>
      <c r="AK215" s="569"/>
      <c r="AL215" s="569"/>
      <c r="AM215" s="432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3" t="str">
        <f t="shared" ca="1" si="34"/>
        <v/>
      </c>
      <c r="D216" s="146" t="str">
        <f ca="1">ORÇAMENTO!O216</f>
        <v>-</v>
      </c>
      <c r="E216" s="206" t="str">
        <f t="shared" ca="1" si="35"/>
        <v>(abra o arquivo 'Referência 05-2023.xls)</v>
      </c>
      <c r="F216" s="207" t="str">
        <f t="shared" ca="1" si="36"/>
        <v>-</v>
      </c>
      <c r="G216" s="151">
        <f ca="1">IF(RegimeExecucao="Global","",ORÇAMENTO!T216)</f>
        <v>0</v>
      </c>
      <c r="H216" s="151">
        <f ca="1">IF(RegimeExecucao="Global","",ORÇAMENTO!W216)</f>
        <v>0</v>
      </c>
      <c r="I216" s="154">
        <f ca="1">ORÇAMENTO!X216</f>
        <v>0</v>
      </c>
      <c r="J216" s="427">
        <f t="shared" ca="1" si="37"/>
        <v>0</v>
      </c>
      <c r="K216" s="151">
        <f t="shared" ca="1" si="38"/>
        <v>0</v>
      </c>
      <c r="L216" s="428">
        <f t="shared" ca="1" si="39"/>
        <v>0</v>
      </c>
      <c r="M216" s="429">
        <f ca="1">IF($A216="S",VTOTALBM,IF($A216=0,0,ROUND(SomaAgrupBM,15-13*ORÇAMENTO!$AF$11)))</f>
        <v>0</v>
      </c>
      <c r="N216" s="430">
        <f t="shared" ca="1" si="40"/>
        <v>0</v>
      </c>
      <c r="O216" s="154">
        <f ca="1">IF($A216="S",VTOTALBM,IF($A216=0,0,ROUND(SomaAgrupBM,15-13*ORÇAMENTO!$AF$11)))</f>
        <v>0</v>
      </c>
      <c r="Q216" s="431"/>
      <c r="R216" s="432"/>
      <c r="T216" s="146" t="str">
        <f t="shared" ca="1" si="41"/>
        <v/>
      </c>
      <c r="U216" s="206" t="str">
        <f t="shared" ca="1" si="42"/>
        <v/>
      </c>
      <c r="V216" s="207" t="str">
        <f t="shared" ca="1" si="43"/>
        <v/>
      </c>
      <c r="W216" s="595">
        <f ca="1">IF($Y216&gt;0,CHOOSE(MATCH(RegimeExecucao,{"Unitário","Global"},0),IF($A216="S",$Y216/$X216,""),($Y216/$X216)*100),0)</f>
        <v>0</v>
      </c>
      <c r="X216" s="433" t="str">
        <f ca="1">IF($Y216&gt;0,CHOOSE(MATCH(RegimeExecucao,{"Unitário","Global"},0),IF($A216="S",ROUND($H216,ORÇAMENTO!$AF$10),""),ROUND($I216,ORÇAMENTO!$AF$11)),"")</f>
        <v/>
      </c>
      <c r="Y216" s="433">
        <f t="shared" ca="1" si="44"/>
        <v>0</v>
      </c>
      <c r="Z216" s="434"/>
      <c r="AB216" s="431"/>
      <c r="AC216" s="569"/>
      <c r="AD216" s="569"/>
      <c r="AE216" s="569"/>
      <c r="AF216" s="569"/>
      <c r="AG216" s="569"/>
      <c r="AH216" s="569"/>
      <c r="AI216" s="569"/>
      <c r="AJ216" s="569"/>
      <c r="AK216" s="569"/>
      <c r="AL216" s="569"/>
      <c r="AM216" s="432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3" t="str">
        <f t="shared" ca="1" si="34"/>
        <v/>
      </c>
      <c r="D217" s="146" t="str">
        <f ca="1">ORÇAMENTO!O217</f>
        <v>-</v>
      </c>
      <c r="E217" s="206" t="str">
        <f t="shared" ca="1" si="35"/>
        <v>(abra o arquivo 'Referência 05-2023.xls)</v>
      </c>
      <c r="F217" s="207" t="str">
        <f t="shared" ca="1" si="36"/>
        <v>-</v>
      </c>
      <c r="G217" s="151">
        <f ca="1">IF(RegimeExecucao="Global","",ORÇAMENTO!T217)</f>
        <v>0</v>
      </c>
      <c r="H217" s="151">
        <f ca="1">IF(RegimeExecucao="Global","",ORÇAMENTO!W217)</f>
        <v>0</v>
      </c>
      <c r="I217" s="154">
        <f ca="1">ORÇAMENTO!X217</f>
        <v>0</v>
      </c>
      <c r="J217" s="427">
        <f t="shared" ca="1" si="37"/>
        <v>0</v>
      </c>
      <c r="K217" s="151">
        <f t="shared" ca="1" si="38"/>
        <v>0</v>
      </c>
      <c r="L217" s="428">
        <f t="shared" ca="1" si="39"/>
        <v>0</v>
      </c>
      <c r="M217" s="429">
        <f ca="1">IF($A217="S",VTOTALBM,IF($A217=0,0,ROUND(SomaAgrupBM,15-13*ORÇAMENTO!$AF$11)))</f>
        <v>0</v>
      </c>
      <c r="N217" s="430">
        <f t="shared" ca="1" si="40"/>
        <v>0</v>
      </c>
      <c r="O217" s="154">
        <f ca="1">IF($A217="S",VTOTALBM,IF($A217=0,0,ROUND(SomaAgrupBM,15-13*ORÇAMENTO!$AF$11)))</f>
        <v>0</v>
      </c>
      <c r="Q217" s="431"/>
      <c r="R217" s="432"/>
      <c r="T217" s="146" t="str">
        <f t="shared" ca="1" si="41"/>
        <v/>
      </c>
      <c r="U217" s="206" t="str">
        <f t="shared" ca="1" si="42"/>
        <v/>
      </c>
      <c r="V217" s="207" t="str">
        <f t="shared" ca="1" si="43"/>
        <v/>
      </c>
      <c r="W217" s="595">
        <f ca="1">IF($Y217&gt;0,CHOOSE(MATCH(RegimeExecucao,{"Unitário","Global"},0),IF($A217="S",$Y217/$X217,""),($Y217/$X217)*100),0)</f>
        <v>0</v>
      </c>
      <c r="X217" s="433" t="str">
        <f ca="1">IF($Y217&gt;0,CHOOSE(MATCH(RegimeExecucao,{"Unitário","Global"},0),IF($A217="S",ROUND($H217,ORÇAMENTO!$AF$10),""),ROUND($I217,ORÇAMENTO!$AF$11)),"")</f>
        <v/>
      </c>
      <c r="Y217" s="433">
        <f t="shared" ca="1" si="44"/>
        <v>0</v>
      </c>
      <c r="Z217" s="434"/>
      <c r="AB217" s="431"/>
      <c r="AC217" s="569"/>
      <c r="AD217" s="569"/>
      <c r="AE217" s="569"/>
      <c r="AF217" s="569"/>
      <c r="AG217" s="569"/>
      <c r="AH217" s="569"/>
      <c r="AI217" s="569"/>
      <c r="AJ217" s="569"/>
      <c r="AK217" s="569"/>
      <c r="AL217" s="569"/>
      <c r="AM217" s="432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3" t="str">
        <f t="shared" ca="1" si="34"/>
        <v/>
      </c>
      <c r="D218" s="146" t="str">
        <f ca="1">ORÇAMENTO!O218</f>
        <v>-</v>
      </c>
      <c r="E218" s="206" t="str">
        <f t="shared" ca="1" si="35"/>
        <v>(abra o arquivo 'Referência 05-2023.xls)</v>
      </c>
      <c r="F218" s="207" t="str">
        <f t="shared" ca="1" si="36"/>
        <v>-</v>
      </c>
      <c r="G218" s="151">
        <f ca="1">IF(RegimeExecucao="Global","",ORÇAMENTO!T218)</f>
        <v>0</v>
      </c>
      <c r="H218" s="151">
        <f ca="1">IF(RegimeExecucao="Global","",ORÇAMENTO!W218)</f>
        <v>0</v>
      </c>
      <c r="I218" s="154">
        <f ca="1">ORÇAMENTO!X218</f>
        <v>0</v>
      </c>
      <c r="J218" s="427">
        <f t="shared" ca="1" si="37"/>
        <v>0</v>
      </c>
      <c r="K218" s="151">
        <f t="shared" ca="1" si="38"/>
        <v>0</v>
      </c>
      <c r="L218" s="428">
        <f t="shared" ca="1" si="39"/>
        <v>0</v>
      </c>
      <c r="M218" s="429">
        <f ca="1">IF($A218="S",VTOTALBM,IF($A218=0,0,ROUND(SomaAgrupBM,15-13*ORÇAMENTO!$AF$11)))</f>
        <v>0</v>
      </c>
      <c r="N218" s="430">
        <f t="shared" ca="1" si="40"/>
        <v>0</v>
      </c>
      <c r="O218" s="154">
        <f ca="1">IF($A218="S",VTOTALBM,IF($A218=0,0,ROUND(SomaAgrupBM,15-13*ORÇAMENTO!$AF$11)))</f>
        <v>0</v>
      </c>
      <c r="Q218" s="431"/>
      <c r="R218" s="432"/>
      <c r="T218" s="146" t="str">
        <f t="shared" ca="1" si="41"/>
        <v/>
      </c>
      <c r="U218" s="206" t="str">
        <f t="shared" ca="1" si="42"/>
        <v/>
      </c>
      <c r="V218" s="207" t="str">
        <f t="shared" ca="1" si="43"/>
        <v/>
      </c>
      <c r="W218" s="595">
        <f ca="1">IF($Y218&gt;0,CHOOSE(MATCH(RegimeExecucao,{"Unitário","Global"},0),IF($A218="S",$Y218/$X218,""),($Y218/$X218)*100),0)</f>
        <v>0</v>
      </c>
      <c r="X218" s="433" t="str">
        <f ca="1">IF($Y218&gt;0,CHOOSE(MATCH(RegimeExecucao,{"Unitário","Global"},0),IF($A218="S",ROUND($H218,ORÇAMENTO!$AF$10),""),ROUND($I218,ORÇAMENTO!$AF$11)),"")</f>
        <v/>
      </c>
      <c r="Y218" s="433">
        <f t="shared" ca="1" si="44"/>
        <v>0</v>
      </c>
      <c r="Z218" s="434"/>
      <c r="AB218" s="431"/>
      <c r="AC218" s="569"/>
      <c r="AD218" s="569"/>
      <c r="AE218" s="569"/>
      <c r="AF218" s="569"/>
      <c r="AG218" s="569"/>
      <c r="AH218" s="569"/>
      <c r="AI218" s="569"/>
      <c r="AJ218" s="569"/>
      <c r="AK218" s="569"/>
      <c r="AL218" s="569"/>
      <c r="AM218" s="432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3" t="str">
        <f t="shared" ca="1" si="34"/>
        <v/>
      </c>
      <c r="D219" s="146" t="str">
        <f ca="1">ORÇAMENTO!O219</f>
        <v>-</v>
      </c>
      <c r="E219" s="206" t="str">
        <f t="shared" ca="1" si="35"/>
        <v>(abra o arquivo 'Referência 05-2023.xls)</v>
      </c>
      <c r="F219" s="207" t="str">
        <f t="shared" ca="1" si="36"/>
        <v>-</v>
      </c>
      <c r="G219" s="151">
        <f ca="1">IF(RegimeExecucao="Global","",ORÇAMENTO!T219)</f>
        <v>0</v>
      </c>
      <c r="H219" s="151">
        <f ca="1">IF(RegimeExecucao="Global","",ORÇAMENTO!W219)</f>
        <v>0</v>
      </c>
      <c r="I219" s="154">
        <f ca="1">ORÇAMENTO!X219</f>
        <v>0</v>
      </c>
      <c r="J219" s="427">
        <f t="shared" ca="1" si="37"/>
        <v>0</v>
      </c>
      <c r="K219" s="151">
        <f t="shared" ca="1" si="38"/>
        <v>0</v>
      </c>
      <c r="L219" s="428">
        <f t="shared" ca="1" si="39"/>
        <v>0</v>
      </c>
      <c r="M219" s="429">
        <f ca="1">IF($A219="S",VTOTALBM,IF($A219=0,0,ROUND(SomaAgrupBM,15-13*ORÇAMENTO!$AF$11)))</f>
        <v>0</v>
      </c>
      <c r="N219" s="430">
        <f t="shared" ca="1" si="40"/>
        <v>0</v>
      </c>
      <c r="O219" s="154">
        <f ca="1">IF($A219="S",VTOTALBM,IF($A219=0,0,ROUND(SomaAgrupBM,15-13*ORÇAMENTO!$AF$11)))</f>
        <v>0</v>
      </c>
      <c r="Q219" s="431"/>
      <c r="R219" s="432"/>
      <c r="T219" s="146" t="str">
        <f t="shared" ca="1" si="41"/>
        <v/>
      </c>
      <c r="U219" s="206" t="str">
        <f t="shared" ca="1" si="42"/>
        <v/>
      </c>
      <c r="V219" s="207" t="str">
        <f t="shared" ca="1" si="43"/>
        <v/>
      </c>
      <c r="W219" s="595">
        <f ca="1">IF($Y219&gt;0,CHOOSE(MATCH(RegimeExecucao,{"Unitário","Global"},0),IF($A219="S",$Y219/$X219,""),($Y219/$X219)*100),0)</f>
        <v>0</v>
      </c>
      <c r="X219" s="433" t="str">
        <f ca="1">IF($Y219&gt;0,CHOOSE(MATCH(RegimeExecucao,{"Unitário","Global"},0),IF($A219="S",ROUND($H219,ORÇAMENTO!$AF$10),""),ROUND($I219,ORÇAMENTO!$AF$11)),"")</f>
        <v/>
      </c>
      <c r="Y219" s="433">
        <f t="shared" ca="1" si="44"/>
        <v>0</v>
      </c>
      <c r="Z219" s="434"/>
      <c r="AB219" s="431"/>
      <c r="AC219" s="569"/>
      <c r="AD219" s="569"/>
      <c r="AE219" s="569"/>
      <c r="AF219" s="569"/>
      <c r="AG219" s="569"/>
      <c r="AH219" s="569"/>
      <c r="AI219" s="569"/>
      <c r="AJ219" s="569"/>
      <c r="AK219" s="569"/>
      <c r="AL219" s="569"/>
      <c r="AM219" s="432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3" t="str">
        <f t="shared" ca="1" si="34"/>
        <v/>
      </c>
      <c r="D220" s="146" t="str">
        <f ca="1">ORÇAMENTO!O220</f>
        <v>-</v>
      </c>
      <c r="E220" s="206" t="str">
        <f t="shared" ca="1" si="35"/>
        <v>(abra o arquivo 'Referência 05-2023.xls)</v>
      </c>
      <c r="F220" s="207" t="str">
        <f t="shared" ca="1" si="36"/>
        <v>-</v>
      </c>
      <c r="G220" s="151">
        <f ca="1">IF(RegimeExecucao="Global","",ORÇAMENTO!T220)</f>
        <v>0</v>
      </c>
      <c r="H220" s="151">
        <f ca="1">IF(RegimeExecucao="Global","",ORÇAMENTO!W220)</f>
        <v>0</v>
      </c>
      <c r="I220" s="154">
        <f ca="1">ORÇAMENTO!X220</f>
        <v>0</v>
      </c>
      <c r="J220" s="427">
        <f t="shared" ca="1" si="37"/>
        <v>0</v>
      </c>
      <c r="K220" s="151">
        <f t="shared" ca="1" si="38"/>
        <v>0</v>
      </c>
      <c r="L220" s="428">
        <f t="shared" ca="1" si="39"/>
        <v>0</v>
      </c>
      <c r="M220" s="429">
        <f ca="1">IF($A220="S",VTOTALBM,IF($A220=0,0,ROUND(SomaAgrupBM,15-13*ORÇAMENTO!$AF$11)))</f>
        <v>0</v>
      </c>
      <c r="N220" s="430">
        <f t="shared" ca="1" si="40"/>
        <v>0</v>
      </c>
      <c r="O220" s="154">
        <f ca="1">IF($A220="S",VTOTALBM,IF($A220=0,0,ROUND(SomaAgrupBM,15-13*ORÇAMENTO!$AF$11)))</f>
        <v>0</v>
      </c>
      <c r="Q220" s="431"/>
      <c r="R220" s="432"/>
      <c r="T220" s="146" t="str">
        <f t="shared" ca="1" si="41"/>
        <v/>
      </c>
      <c r="U220" s="206" t="str">
        <f t="shared" ca="1" si="42"/>
        <v/>
      </c>
      <c r="V220" s="207" t="str">
        <f t="shared" ca="1" si="43"/>
        <v/>
      </c>
      <c r="W220" s="595">
        <f ca="1">IF($Y220&gt;0,CHOOSE(MATCH(RegimeExecucao,{"Unitário","Global"},0),IF($A220="S",$Y220/$X220,""),($Y220/$X220)*100),0)</f>
        <v>0</v>
      </c>
      <c r="X220" s="433" t="str">
        <f ca="1">IF($Y220&gt;0,CHOOSE(MATCH(RegimeExecucao,{"Unitário","Global"},0),IF($A220="S",ROUND($H220,ORÇAMENTO!$AF$10),""),ROUND($I220,ORÇAMENTO!$AF$11)),"")</f>
        <v/>
      </c>
      <c r="Y220" s="433">
        <f t="shared" ca="1" si="44"/>
        <v>0</v>
      </c>
      <c r="Z220" s="434"/>
      <c r="AB220" s="431"/>
      <c r="AC220" s="569"/>
      <c r="AD220" s="569"/>
      <c r="AE220" s="569"/>
      <c r="AF220" s="569"/>
      <c r="AG220" s="569"/>
      <c r="AH220" s="569"/>
      <c r="AI220" s="569"/>
      <c r="AJ220" s="569"/>
      <c r="AK220" s="569"/>
      <c r="AL220" s="569"/>
      <c r="AM220" s="432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3" t="str">
        <f t="shared" ca="1" si="34"/>
        <v/>
      </c>
      <c r="D221" s="146" t="str">
        <f ca="1">ORÇAMENTO!O221</f>
        <v>-</v>
      </c>
      <c r="E221" s="206" t="str">
        <f t="shared" ca="1" si="35"/>
        <v>(abra o arquivo 'Referência 05-2023.xls)</v>
      </c>
      <c r="F221" s="207" t="str">
        <f t="shared" ca="1" si="36"/>
        <v>-</v>
      </c>
      <c r="G221" s="151">
        <f ca="1">IF(RegimeExecucao="Global","",ORÇAMENTO!T221)</f>
        <v>0</v>
      </c>
      <c r="H221" s="151">
        <f ca="1">IF(RegimeExecucao="Global","",ORÇAMENTO!W221)</f>
        <v>0</v>
      </c>
      <c r="I221" s="154">
        <f ca="1">ORÇAMENTO!X221</f>
        <v>0</v>
      </c>
      <c r="J221" s="427">
        <f t="shared" ca="1" si="37"/>
        <v>0</v>
      </c>
      <c r="K221" s="151">
        <f t="shared" ca="1" si="38"/>
        <v>0</v>
      </c>
      <c r="L221" s="428">
        <f t="shared" ca="1" si="39"/>
        <v>0</v>
      </c>
      <c r="M221" s="429">
        <f ca="1">IF($A221="S",VTOTALBM,IF($A221=0,0,ROUND(SomaAgrupBM,15-13*ORÇAMENTO!$AF$11)))</f>
        <v>0</v>
      </c>
      <c r="N221" s="430">
        <f t="shared" ca="1" si="40"/>
        <v>0</v>
      </c>
      <c r="O221" s="154">
        <f ca="1">IF($A221="S",VTOTALBM,IF($A221=0,0,ROUND(SomaAgrupBM,15-13*ORÇAMENTO!$AF$11)))</f>
        <v>0</v>
      </c>
      <c r="Q221" s="431"/>
      <c r="R221" s="432"/>
      <c r="T221" s="146" t="str">
        <f t="shared" ca="1" si="41"/>
        <v/>
      </c>
      <c r="U221" s="206" t="str">
        <f t="shared" ca="1" si="42"/>
        <v/>
      </c>
      <c r="V221" s="207" t="str">
        <f t="shared" ca="1" si="43"/>
        <v/>
      </c>
      <c r="W221" s="595">
        <f ca="1">IF($Y221&gt;0,CHOOSE(MATCH(RegimeExecucao,{"Unitário","Global"},0),IF($A221="S",$Y221/$X221,""),($Y221/$X221)*100),0)</f>
        <v>0</v>
      </c>
      <c r="X221" s="433" t="str">
        <f ca="1">IF($Y221&gt;0,CHOOSE(MATCH(RegimeExecucao,{"Unitário","Global"},0),IF($A221="S",ROUND($H221,ORÇAMENTO!$AF$10),""),ROUND($I221,ORÇAMENTO!$AF$11)),"")</f>
        <v/>
      </c>
      <c r="Y221" s="433">
        <f t="shared" ca="1" si="44"/>
        <v>0</v>
      </c>
      <c r="Z221" s="434"/>
      <c r="AB221" s="431"/>
      <c r="AC221" s="569"/>
      <c r="AD221" s="569"/>
      <c r="AE221" s="569"/>
      <c r="AF221" s="569"/>
      <c r="AG221" s="569"/>
      <c r="AH221" s="569"/>
      <c r="AI221" s="569"/>
      <c r="AJ221" s="569"/>
      <c r="AK221" s="569"/>
      <c r="AL221" s="569"/>
      <c r="AM221" s="432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3" t="str">
        <f t="shared" ca="1" si="34"/>
        <v/>
      </c>
      <c r="D222" s="146" t="str">
        <f ca="1">ORÇAMENTO!O222</f>
        <v>-</v>
      </c>
      <c r="E222" s="206" t="str">
        <f t="shared" ca="1" si="35"/>
        <v>(abra o arquivo 'Referência 05-2023.xls)</v>
      </c>
      <c r="F222" s="207" t="str">
        <f t="shared" ca="1" si="36"/>
        <v>-</v>
      </c>
      <c r="G222" s="151">
        <f ca="1">IF(RegimeExecucao="Global","",ORÇAMENTO!T222)</f>
        <v>0</v>
      </c>
      <c r="H222" s="151">
        <f ca="1">IF(RegimeExecucao="Global","",ORÇAMENTO!W222)</f>
        <v>0</v>
      </c>
      <c r="I222" s="154">
        <f ca="1">ORÇAMENTO!X222</f>
        <v>0</v>
      </c>
      <c r="J222" s="427">
        <f t="shared" ca="1" si="37"/>
        <v>0</v>
      </c>
      <c r="K222" s="151">
        <f t="shared" ca="1" si="38"/>
        <v>0</v>
      </c>
      <c r="L222" s="428">
        <f t="shared" ca="1" si="39"/>
        <v>0</v>
      </c>
      <c r="M222" s="429">
        <f ca="1">IF($A222="S",VTOTALBM,IF($A222=0,0,ROUND(SomaAgrupBM,15-13*ORÇAMENTO!$AF$11)))</f>
        <v>0</v>
      </c>
      <c r="N222" s="430">
        <f t="shared" ca="1" si="40"/>
        <v>0</v>
      </c>
      <c r="O222" s="154">
        <f ca="1">IF($A222="S",VTOTALBM,IF($A222=0,0,ROUND(SomaAgrupBM,15-13*ORÇAMENTO!$AF$11)))</f>
        <v>0</v>
      </c>
      <c r="Q222" s="431"/>
      <c r="R222" s="432"/>
      <c r="T222" s="146" t="str">
        <f t="shared" ca="1" si="41"/>
        <v/>
      </c>
      <c r="U222" s="206" t="str">
        <f t="shared" ca="1" si="42"/>
        <v/>
      </c>
      <c r="V222" s="207" t="str">
        <f t="shared" ca="1" si="43"/>
        <v/>
      </c>
      <c r="W222" s="595">
        <f ca="1">IF($Y222&gt;0,CHOOSE(MATCH(RegimeExecucao,{"Unitário","Global"},0),IF($A222="S",$Y222/$X222,""),($Y222/$X222)*100),0)</f>
        <v>0</v>
      </c>
      <c r="X222" s="433" t="str">
        <f ca="1">IF($Y222&gt;0,CHOOSE(MATCH(RegimeExecucao,{"Unitário","Global"},0),IF($A222="S",ROUND($H222,ORÇAMENTO!$AF$10),""),ROUND($I222,ORÇAMENTO!$AF$11)),"")</f>
        <v/>
      </c>
      <c r="Y222" s="433">
        <f t="shared" ca="1" si="44"/>
        <v>0</v>
      </c>
      <c r="Z222" s="434"/>
      <c r="AB222" s="431"/>
      <c r="AC222" s="569"/>
      <c r="AD222" s="569"/>
      <c r="AE222" s="569"/>
      <c r="AF222" s="569"/>
      <c r="AG222" s="569"/>
      <c r="AH222" s="569"/>
      <c r="AI222" s="569"/>
      <c r="AJ222" s="569"/>
      <c r="AK222" s="569"/>
      <c r="AL222" s="569"/>
      <c r="AM222" s="432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3" t="str">
        <f t="shared" ca="1" si="34"/>
        <v/>
      </c>
      <c r="D223" s="146" t="str">
        <f ca="1">ORÇAMENTO!O223</f>
        <v>-</v>
      </c>
      <c r="E223" s="206" t="str">
        <f t="shared" ca="1" si="35"/>
        <v>(abra o arquivo 'Referência 05-2023.xls)</v>
      </c>
      <c r="F223" s="207" t="str">
        <f t="shared" ca="1" si="36"/>
        <v>-</v>
      </c>
      <c r="G223" s="151">
        <f ca="1">IF(RegimeExecucao="Global","",ORÇAMENTO!T223)</f>
        <v>0</v>
      </c>
      <c r="H223" s="151">
        <f ca="1">IF(RegimeExecucao="Global","",ORÇAMENTO!W223)</f>
        <v>0</v>
      </c>
      <c r="I223" s="154">
        <f ca="1">ORÇAMENTO!X223</f>
        <v>0</v>
      </c>
      <c r="J223" s="427">
        <f t="shared" ca="1" si="37"/>
        <v>0</v>
      </c>
      <c r="K223" s="151">
        <f t="shared" ca="1" si="38"/>
        <v>0</v>
      </c>
      <c r="L223" s="428">
        <f t="shared" ca="1" si="39"/>
        <v>0</v>
      </c>
      <c r="M223" s="429">
        <f ca="1">IF($A223="S",VTOTALBM,IF($A223=0,0,ROUND(SomaAgrupBM,15-13*ORÇAMENTO!$AF$11)))</f>
        <v>0</v>
      </c>
      <c r="N223" s="430">
        <f t="shared" ca="1" si="40"/>
        <v>0</v>
      </c>
      <c r="O223" s="154">
        <f ca="1">IF($A223="S",VTOTALBM,IF($A223=0,0,ROUND(SomaAgrupBM,15-13*ORÇAMENTO!$AF$11)))</f>
        <v>0</v>
      </c>
      <c r="Q223" s="431"/>
      <c r="R223" s="432"/>
      <c r="T223" s="146" t="str">
        <f t="shared" ca="1" si="41"/>
        <v/>
      </c>
      <c r="U223" s="206" t="str">
        <f t="shared" ca="1" si="42"/>
        <v/>
      </c>
      <c r="V223" s="207" t="str">
        <f t="shared" ca="1" si="43"/>
        <v/>
      </c>
      <c r="W223" s="595">
        <f ca="1">IF($Y223&gt;0,CHOOSE(MATCH(RegimeExecucao,{"Unitário","Global"},0),IF($A223="S",$Y223/$X223,""),($Y223/$X223)*100),0)</f>
        <v>0</v>
      </c>
      <c r="X223" s="433" t="str">
        <f ca="1">IF($Y223&gt;0,CHOOSE(MATCH(RegimeExecucao,{"Unitário","Global"},0),IF($A223="S",ROUND($H223,ORÇAMENTO!$AF$10),""),ROUND($I223,ORÇAMENTO!$AF$11)),"")</f>
        <v/>
      </c>
      <c r="Y223" s="433">
        <f t="shared" ca="1" si="44"/>
        <v>0</v>
      </c>
      <c r="Z223" s="434"/>
      <c r="AB223" s="431"/>
      <c r="AC223" s="569"/>
      <c r="AD223" s="569"/>
      <c r="AE223" s="569"/>
      <c r="AF223" s="569"/>
      <c r="AG223" s="569"/>
      <c r="AH223" s="569"/>
      <c r="AI223" s="569"/>
      <c r="AJ223" s="569"/>
      <c r="AK223" s="569"/>
      <c r="AL223" s="569"/>
      <c r="AM223" s="432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3" t="str">
        <f t="shared" ca="1" si="34"/>
        <v/>
      </c>
      <c r="D224" s="146" t="str">
        <f ca="1">ORÇAMENTO!O224</f>
        <v>-</v>
      </c>
      <c r="E224" s="206" t="str">
        <f t="shared" ca="1" si="35"/>
        <v>(abra o arquivo 'Referência 05-2023.xls)</v>
      </c>
      <c r="F224" s="207" t="str">
        <f t="shared" ca="1" si="36"/>
        <v>-</v>
      </c>
      <c r="G224" s="151">
        <f ca="1">IF(RegimeExecucao="Global","",ORÇAMENTO!T224)</f>
        <v>0</v>
      </c>
      <c r="H224" s="151">
        <f ca="1">IF(RegimeExecucao="Global","",ORÇAMENTO!W224)</f>
        <v>0</v>
      </c>
      <c r="I224" s="154">
        <f ca="1">ORÇAMENTO!X224</f>
        <v>0</v>
      </c>
      <c r="J224" s="427">
        <f t="shared" ca="1" si="37"/>
        <v>0</v>
      </c>
      <c r="K224" s="151">
        <f t="shared" ca="1" si="38"/>
        <v>0</v>
      </c>
      <c r="L224" s="428">
        <f t="shared" ca="1" si="39"/>
        <v>0</v>
      </c>
      <c r="M224" s="429">
        <f ca="1">IF($A224="S",VTOTALBM,IF($A224=0,0,ROUND(SomaAgrupBM,15-13*ORÇAMENTO!$AF$11)))</f>
        <v>0</v>
      </c>
      <c r="N224" s="430">
        <f t="shared" ca="1" si="40"/>
        <v>0</v>
      </c>
      <c r="O224" s="154">
        <f ca="1">IF($A224="S",VTOTALBM,IF($A224=0,0,ROUND(SomaAgrupBM,15-13*ORÇAMENTO!$AF$11)))</f>
        <v>0</v>
      </c>
      <c r="Q224" s="431"/>
      <c r="R224" s="432"/>
      <c r="T224" s="146" t="str">
        <f t="shared" ca="1" si="41"/>
        <v/>
      </c>
      <c r="U224" s="206" t="str">
        <f t="shared" ca="1" si="42"/>
        <v/>
      </c>
      <c r="V224" s="207" t="str">
        <f t="shared" ca="1" si="43"/>
        <v/>
      </c>
      <c r="W224" s="595">
        <f ca="1">IF($Y224&gt;0,CHOOSE(MATCH(RegimeExecucao,{"Unitário","Global"},0),IF($A224="S",$Y224/$X224,""),($Y224/$X224)*100),0)</f>
        <v>0</v>
      </c>
      <c r="X224" s="433" t="str">
        <f ca="1">IF($Y224&gt;0,CHOOSE(MATCH(RegimeExecucao,{"Unitário","Global"},0),IF($A224="S",ROUND($H224,ORÇAMENTO!$AF$10),""),ROUND($I224,ORÇAMENTO!$AF$11)),"")</f>
        <v/>
      </c>
      <c r="Y224" s="433">
        <f t="shared" ca="1" si="44"/>
        <v>0</v>
      </c>
      <c r="Z224" s="434"/>
      <c r="AB224" s="431"/>
      <c r="AC224" s="569"/>
      <c r="AD224" s="569"/>
      <c r="AE224" s="569"/>
      <c r="AF224" s="569"/>
      <c r="AG224" s="569"/>
      <c r="AH224" s="569"/>
      <c r="AI224" s="569"/>
      <c r="AJ224" s="569"/>
      <c r="AK224" s="569"/>
      <c r="AL224" s="569"/>
      <c r="AM224" s="432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3" t="str">
        <f t="shared" ca="1" si="34"/>
        <v/>
      </c>
      <c r="D225" s="146" t="str">
        <f ca="1">ORÇAMENTO!O225</f>
        <v>-</v>
      </c>
      <c r="E225" s="206" t="str">
        <f t="shared" ca="1" si="35"/>
        <v>(abra o arquivo 'Referência 05-2023.xls)</v>
      </c>
      <c r="F225" s="207" t="str">
        <f t="shared" ca="1" si="36"/>
        <v>-</v>
      </c>
      <c r="G225" s="151">
        <f ca="1">IF(RegimeExecucao="Global","",ORÇAMENTO!T225)</f>
        <v>0</v>
      </c>
      <c r="H225" s="151">
        <f ca="1">IF(RegimeExecucao="Global","",ORÇAMENTO!W225)</f>
        <v>0</v>
      </c>
      <c r="I225" s="154">
        <f ca="1">ORÇAMENTO!X225</f>
        <v>0</v>
      </c>
      <c r="J225" s="427">
        <f t="shared" ca="1" si="37"/>
        <v>0</v>
      </c>
      <c r="K225" s="151">
        <f t="shared" ca="1" si="38"/>
        <v>0</v>
      </c>
      <c r="L225" s="428">
        <f t="shared" ca="1" si="39"/>
        <v>0</v>
      </c>
      <c r="M225" s="429">
        <f ca="1">IF($A225="S",VTOTALBM,IF($A225=0,0,ROUND(SomaAgrupBM,15-13*ORÇAMENTO!$AF$11)))</f>
        <v>0</v>
      </c>
      <c r="N225" s="430">
        <f t="shared" ca="1" si="40"/>
        <v>0</v>
      </c>
      <c r="O225" s="154">
        <f ca="1">IF($A225="S",VTOTALBM,IF($A225=0,0,ROUND(SomaAgrupBM,15-13*ORÇAMENTO!$AF$11)))</f>
        <v>0</v>
      </c>
      <c r="Q225" s="431"/>
      <c r="R225" s="432"/>
      <c r="T225" s="146" t="str">
        <f t="shared" ca="1" si="41"/>
        <v/>
      </c>
      <c r="U225" s="206" t="str">
        <f t="shared" ca="1" si="42"/>
        <v/>
      </c>
      <c r="V225" s="207" t="str">
        <f t="shared" ca="1" si="43"/>
        <v/>
      </c>
      <c r="W225" s="595">
        <f ca="1">IF($Y225&gt;0,CHOOSE(MATCH(RegimeExecucao,{"Unitário","Global"},0),IF($A225="S",$Y225/$X225,""),($Y225/$X225)*100),0)</f>
        <v>0</v>
      </c>
      <c r="X225" s="433" t="str">
        <f ca="1">IF($Y225&gt;0,CHOOSE(MATCH(RegimeExecucao,{"Unitário","Global"},0),IF($A225="S",ROUND($H225,ORÇAMENTO!$AF$10),""),ROUND($I225,ORÇAMENTO!$AF$11)),"")</f>
        <v/>
      </c>
      <c r="Y225" s="433">
        <f t="shared" ca="1" si="44"/>
        <v>0</v>
      </c>
      <c r="Z225" s="434"/>
      <c r="AB225" s="431"/>
      <c r="AC225" s="569"/>
      <c r="AD225" s="569"/>
      <c r="AE225" s="569"/>
      <c r="AF225" s="569"/>
      <c r="AG225" s="569"/>
      <c r="AH225" s="569"/>
      <c r="AI225" s="569"/>
      <c r="AJ225" s="569"/>
      <c r="AK225" s="569"/>
      <c r="AL225" s="569"/>
      <c r="AM225" s="432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3" t="str">
        <f t="shared" ca="1" si="34"/>
        <v/>
      </c>
      <c r="D226" s="146" t="str">
        <f ca="1">ORÇAMENTO!O226</f>
        <v>-</v>
      </c>
      <c r="E226" s="206" t="str">
        <f t="shared" ca="1" si="35"/>
        <v>(abra o arquivo 'Referência 05-2023.xls)</v>
      </c>
      <c r="F226" s="207" t="str">
        <f t="shared" ca="1" si="36"/>
        <v>-</v>
      </c>
      <c r="G226" s="151">
        <f ca="1">IF(RegimeExecucao="Global","",ORÇAMENTO!T226)</f>
        <v>0</v>
      </c>
      <c r="H226" s="151">
        <f ca="1">IF(RegimeExecucao="Global","",ORÇAMENTO!W226)</f>
        <v>0</v>
      </c>
      <c r="I226" s="154">
        <f ca="1">ORÇAMENTO!X226</f>
        <v>0</v>
      </c>
      <c r="J226" s="427">
        <f t="shared" ca="1" si="37"/>
        <v>0</v>
      </c>
      <c r="K226" s="151">
        <f t="shared" ca="1" si="38"/>
        <v>0</v>
      </c>
      <c r="L226" s="428">
        <f t="shared" ca="1" si="39"/>
        <v>0</v>
      </c>
      <c r="M226" s="429">
        <f ca="1">IF($A226="S",VTOTALBM,IF($A226=0,0,ROUND(SomaAgrupBM,15-13*ORÇAMENTO!$AF$11)))</f>
        <v>0</v>
      </c>
      <c r="N226" s="430">
        <f t="shared" ca="1" si="40"/>
        <v>0</v>
      </c>
      <c r="O226" s="154">
        <f ca="1">IF($A226="S",VTOTALBM,IF($A226=0,0,ROUND(SomaAgrupBM,15-13*ORÇAMENTO!$AF$11)))</f>
        <v>0</v>
      </c>
      <c r="Q226" s="431"/>
      <c r="R226" s="432"/>
      <c r="T226" s="146" t="str">
        <f t="shared" ca="1" si="41"/>
        <v/>
      </c>
      <c r="U226" s="206" t="str">
        <f t="shared" ca="1" si="42"/>
        <v/>
      </c>
      <c r="V226" s="207" t="str">
        <f t="shared" ca="1" si="43"/>
        <v/>
      </c>
      <c r="W226" s="595">
        <f ca="1">IF($Y226&gt;0,CHOOSE(MATCH(RegimeExecucao,{"Unitário","Global"},0),IF($A226="S",$Y226/$X226,""),($Y226/$X226)*100),0)</f>
        <v>0</v>
      </c>
      <c r="X226" s="433" t="str">
        <f ca="1">IF($Y226&gt;0,CHOOSE(MATCH(RegimeExecucao,{"Unitário","Global"},0),IF($A226="S",ROUND($H226,ORÇAMENTO!$AF$10),""),ROUND($I226,ORÇAMENTO!$AF$11)),"")</f>
        <v/>
      </c>
      <c r="Y226" s="433">
        <f t="shared" ca="1" si="44"/>
        <v>0</v>
      </c>
      <c r="Z226" s="434"/>
      <c r="AB226" s="431"/>
      <c r="AC226" s="569"/>
      <c r="AD226" s="569"/>
      <c r="AE226" s="569"/>
      <c r="AF226" s="569"/>
      <c r="AG226" s="569"/>
      <c r="AH226" s="569"/>
      <c r="AI226" s="569"/>
      <c r="AJ226" s="569"/>
      <c r="AK226" s="569"/>
      <c r="AL226" s="569"/>
      <c r="AM226" s="432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3" t="str">
        <f t="shared" ca="1" si="34"/>
        <v/>
      </c>
      <c r="D227" s="146" t="str">
        <f ca="1">ORÇAMENTO!O227</f>
        <v>-</v>
      </c>
      <c r="E227" s="206" t="str">
        <f t="shared" ca="1" si="35"/>
        <v>(abra o arquivo 'Referência 05-2023.xls)</v>
      </c>
      <c r="F227" s="207" t="str">
        <f t="shared" ca="1" si="36"/>
        <v>-</v>
      </c>
      <c r="G227" s="151">
        <f ca="1">IF(RegimeExecucao="Global","",ORÇAMENTO!T227)</f>
        <v>0</v>
      </c>
      <c r="H227" s="151">
        <f ca="1">IF(RegimeExecucao="Global","",ORÇAMENTO!W227)</f>
        <v>0</v>
      </c>
      <c r="I227" s="154">
        <f ca="1">ORÇAMENTO!X227</f>
        <v>0</v>
      </c>
      <c r="J227" s="427">
        <f t="shared" ca="1" si="37"/>
        <v>0</v>
      </c>
      <c r="K227" s="151">
        <f t="shared" ca="1" si="38"/>
        <v>0</v>
      </c>
      <c r="L227" s="428">
        <f t="shared" ca="1" si="39"/>
        <v>0</v>
      </c>
      <c r="M227" s="429">
        <f ca="1">IF($A227="S",VTOTALBM,IF($A227=0,0,ROUND(SomaAgrupBM,15-13*ORÇAMENTO!$AF$11)))</f>
        <v>0</v>
      </c>
      <c r="N227" s="430">
        <f t="shared" ca="1" si="40"/>
        <v>0</v>
      </c>
      <c r="O227" s="154">
        <f ca="1">IF($A227="S",VTOTALBM,IF($A227=0,0,ROUND(SomaAgrupBM,15-13*ORÇAMENTO!$AF$11)))</f>
        <v>0</v>
      </c>
      <c r="Q227" s="431"/>
      <c r="R227" s="432"/>
      <c r="T227" s="146" t="str">
        <f t="shared" ca="1" si="41"/>
        <v/>
      </c>
      <c r="U227" s="206" t="str">
        <f t="shared" ca="1" si="42"/>
        <v/>
      </c>
      <c r="V227" s="207" t="str">
        <f t="shared" ca="1" si="43"/>
        <v/>
      </c>
      <c r="W227" s="595">
        <f ca="1">IF($Y227&gt;0,CHOOSE(MATCH(RegimeExecucao,{"Unitário","Global"},0),IF($A227="S",$Y227/$X227,""),($Y227/$X227)*100),0)</f>
        <v>0</v>
      </c>
      <c r="X227" s="433" t="str">
        <f ca="1">IF($Y227&gt;0,CHOOSE(MATCH(RegimeExecucao,{"Unitário","Global"},0),IF($A227="S",ROUND($H227,ORÇAMENTO!$AF$10),""),ROUND($I227,ORÇAMENTO!$AF$11)),"")</f>
        <v/>
      </c>
      <c r="Y227" s="433">
        <f t="shared" ca="1" si="44"/>
        <v>0</v>
      </c>
      <c r="Z227" s="434"/>
      <c r="AB227" s="431"/>
      <c r="AC227" s="569"/>
      <c r="AD227" s="569"/>
      <c r="AE227" s="569"/>
      <c r="AF227" s="569"/>
      <c r="AG227" s="569"/>
      <c r="AH227" s="569"/>
      <c r="AI227" s="569"/>
      <c r="AJ227" s="569"/>
      <c r="AK227" s="569"/>
      <c r="AL227" s="569"/>
      <c r="AM227" s="432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3" t="str">
        <f t="shared" ca="1" si="34"/>
        <v/>
      </c>
      <c r="D228" s="146" t="str">
        <f ca="1">ORÇAMENTO!O228</f>
        <v>-</v>
      </c>
      <c r="E228" s="206" t="str">
        <f t="shared" ca="1" si="35"/>
        <v>(abra o arquivo 'Referência 05-2023.xls)</v>
      </c>
      <c r="F228" s="207" t="str">
        <f t="shared" ca="1" si="36"/>
        <v>-</v>
      </c>
      <c r="G228" s="151">
        <f ca="1">IF(RegimeExecucao="Global","",ORÇAMENTO!T228)</f>
        <v>0</v>
      </c>
      <c r="H228" s="151">
        <f ca="1">IF(RegimeExecucao="Global","",ORÇAMENTO!W228)</f>
        <v>0</v>
      </c>
      <c r="I228" s="154">
        <f ca="1">ORÇAMENTO!X228</f>
        <v>0</v>
      </c>
      <c r="J228" s="427">
        <f t="shared" ca="1" si="37"/>
        <v>0</v>
      </c>
      <c r="K228" s="151">
        <f t="shared" ca="1" si="38"/>
        <v>0</v>
      </c>
      <c r="L228" s="428">
        <f t="shared" ca="1" si="39"/>
        <v>0</v>
      </c>
      <c r="M228" s="429">
        <f ca="1">IF($A228="S",VTOTALBM,IF($A228=0,0,ROUND(SomaAgrupBM,15-13*ORÇAMENTO!$AF$11)))</f>
        <v>0</v>
      </c>
      <c r="N228" s="430">
        <f t="shared" ca="1" si="40"/>
        <v>0</v>
      </c>
      <c r="O228" s="154">
        <f ca="1">IF($A228="S",VTOTALBM,IF($A228=0,0,ROUND(SomaAgrupBM,15-13*ORÇAMENTO!$AF$11)))</f>
        <v>0</v>
      </c>
      <c r="Q228" s="431"/>
      <c r="R228" s="432"/>
      <c r="T228" s="146" t="str">
        <f t="shared" ca="1" si="41"/>
        <v/>
      </c>
      <c r="U228" s="206" t="str">
        <f t="shared" ca="1" si="42"/>
        <v/>
      </c>
      <c r="V228" s="207" t="str">
        <f t="shared" ca="1" si="43"/>
        <v/>
      </c>
      <c r="W228" s="595">
        <f ca="1">IF($Y228&gt;0,CHOOSE(MATCH(RegimeExecucao,{"Unitário","Global"},0),IF($A228="S",$Y228/$X228,""),($Y228/$X228)*100),0)</f>
        <v>0</v>
      </c>
      <c r="X228" s="433" t="str">
        <f ca="1">IF($Y228&gt;0,CHOOSE(MATCH(RegimeExecucao,{"Unitário","Global"},0),IF($A228="S",ROUND($H228,ORÇAMENTO!$AF$10),""),ROUND($I228,ORÇAMENTO!$AF$11)),"")</f>
        <v/>
      </c>
      <c r="Y228" s="433">
        <f t="shared" ca="1" si="44"/>
        <v>0</v>
      </c>
      <c r="Z228" s="434"/>
      <c r="AB228" s="431"/>
      <c r="AC228" s="569"/>
      <c r="AD228" s="569"/>
      <c r="AE228" s="569"/>
      <c r="AF228" s="569"/>
      <c r="AG228" s="569"/>
      <c r="AH228" s="569"/>
      <c r="AI228" s="569"/>
      <c r="AJ228" s="569"/>
      <c r="AK228" s="569"/>
      <c r="AL228" s="569"/>
      <c r="AM228" s="432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3" t="str">
        <f t="shared" ca="1" si="34"/>
        <v/>
      </c>
      <c r="D229" s="146" t="str">
        <f ca="1">ORÇAMENTO!O229</f>
        <v>-</v>
      </c>
      <c r="E229" s="206" t="str">
        <f t="shared" ca="1" si="35"/>
        <v>(abra o arquivo 'Referência 05-2023.xls)</v>
      </c>
      <c r="F229" s="207" t="str">
        <f t="shared" ca="1" si="36"/>
        <v>-</v>
      </c>
      <c r="G229" s="151">
        <f ca="1">IF(RegimeExecucao="Global","",ORÇAMENTO!T229)</f>
        <v>0</v>
      </c>
      <c r="H229" s="151">
        <f ca="1">IF(RegimeExecucao="Global","",ORÇAMENTO!W229)</f>
        <v>0</v>
      </c>
      <c r="I229" s="154">
        <f ca="1">ORÇAMENTO!X229</f>
        <v>0</v>
      </c>
      <c r="J229" s="427">
        <f t="shared" ca="1" si="37"/>
        <v>0</v>
      </c>
      <c r="K229" s="151">
        <f t="shared" ca="1" si="38"/>
        <v>0</v>
      </c>
      <c r="L229" s="428">
        <f t="shared" ca="1" si="39"/>
        <v>0</v>
      </c>
      <c r="M229" s="429">
        <f ca="1">IF($A229="S",VTOTALBM,IF($A229=0,0,ROUND(SomaAgrupBM,15-13*ORÇAMENTO!$AF$11)))</f>
        <v>0</v>
      </c>
      <c r="N229" s="430">
        <f t="shared" ca="1" si="40"/>
        <v>0</v>
      </c>
      <c r="O229" s="154">
        <f ca="1">IF($A229="S",VTOTALBM,IF($A229=0,0,ROUND(SomaAgrupBM,15-13*ORÇAMENTO!$AF$11)))</f>
        <v>0</v>
      </c>
      <c r="Q229" s="431"/>
      <c r="R229" s="432"/>
      <c r="T229" s="146" t="str">
        <f t="shared" ca="1" si="41"/>
        <v/>
      </c>
      <c r="U229" s="206" t="str">
        <f t="shared" ca="1" si="42"/>
        <v/>
      </c>
      <c r="V229" s="207" t="str">
        <f t="shared" ca="1" si="43"/>
        <v/>
      </c>
      <c r="W229" s="595">
        <f ca="1">IF($Y229&gt;0,CHOOSE(MATCH(RegimeExecucao,{"Unitário","Global"},0),IF($A229="S",$Y229/$X229,""),($Y229/$X229)*100),0)</f>
        <v>0</v>
      </c>
      <c r="X229" s="433" t="str">
        <f ca="1">IF($Y229&gt;0,CHOOSE(MATCH(RegimeExecucao,{"Unitário","Global"},0),IF($A229="S",ROUND($H229,ORÇAMENTO!$AF$10),""),ROUND($I229,ORÇAMENTO!$AF$11)),"")</f>
        <v/>
      </c>
      <c r="Y229" s="433">
        <f t="shared" ca="1" si="44"/>
        <v>0</v>
      </c>
      <c r="Z229" s="434"/>
      <c r="AB229" s="431"/>
      <c r="AC229" s="569"/>
      <c r="AD229" s="569"/>
      <c r="AE229" s="569"/>
      <c r="AF229" s="569"/>
      <c r="AG229" s="569"/>
      <c r="AH229" s="569"/>
      <c r="AI229" s="569"/>
      <c r="AJ229" s="569"/>
      <c r="AK229" s="569"/>
      <c r="AL229" s="569"/>
      <c r="AM229" s="432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3" t="str">
        <f t="shared" ca="1" si="34"/>
        <v/>
      </c>
      <c r="D230" s="146" t="str">
        <f ca="1">ORÇAMENTO!O230</f>
        <v>-</v>
      </c>
      <c r="E230" s="206" t="str">
        <f t="shared" ca="1" si="35"/>
        <v>(abra o arquivo 'Referência 05-2023.xls)</v>
      </c>
      <c r="F230" s="207" t="str">
        <f t="shared" ca="1" si="36"/>
        <v>-</v>
      </c>
      <c r="G230" s="151">
        <f ca="1">IF(RegimeExecucao="Global","",ORÇAMENTO!T230)</f>
        <v>0</v>
      </c>
      <c r="H230" s="151">
        <f ca="1">IF(RegimeExecucao="Global","",ORÇAMENTO!W230)</f>
        <v>0</v>
      </c>
      <c r="I230" s="154">
        <f ca="1">ORÇAMENTO!X230</f>
        <v>0</v>
      </c>
      <c r="J230" s="427">
        <f t="shared" ca="1" si="37"/>
        <v>0</v>
      </c>
      <c r="K230" s="151">
        <f t="shared" ca="1" si="38"/>
        <v>0</v>
      </c>
      <c r="L230" s="428">
        <f t="shared" ca="1" si="39"/>
        <v>0</v>
      </c>
      <c r="M230" s="429">
        <f ca="1">IF($A230="S",VTOTALBM,IF($A230=0,0,ROUND(SomaAgrupBM,15-13*ORÇAMENTO!$AF$11)))</f>
        <v>0</v>
      </c>
      <c r="N230" s="430">
        <f t="shared" ca="1" si="40"/>
        <v>0</v>
      </c>
      <c r="O230" s="154">
        <f ca="1">IF($A230="S",VTOTALBM,IF($A230=0,0,ROUND(SomaAgrupBM,15-13*ORÇAMENTO!$AF$11)))</f>
        <v>0</v>
      </c>
      <c r="Q230" s="431"/>
      <c r="R230" s="432"/>
      <c r="T230" s="146" t="str">
        <f t="shared" ca="1" si="41"/>
        <v/>
      </c>
      <c r="U230" s="206" t="str">
        <f t="shared" ca="1" si="42"/>
        <v/>
      </c>
      <c r="V230" s="207" t="str">
        <f t="shared" ca="1" si="43"/>
        <v/>
      </c>
      <c r="W230" s="595">
        <f ca="1">IF($Y230&gt;0,CHOOSE(MATCH(RegimeExecucao,{"Unitário","Global"},0),IF($A230="S",$Y230/$X230,""),($Y230/$X230)*100),0)</f>
        <v>0</v>
      </c>
      <c r="X230" s="433" t="str">
        <f ca="1">IF($Y230&gt;0,CHOOSE(MATCH(RegimeExecucao,{"Unitário","Global"},0),IF($A230="S",ROUND($H230,ORÇAMENTO!$AF$10),""),ROUND($I230,ORÇAMENTO!$AF$11)),"")</f>
        <v/>
      </c>
      <c r="Y230" s="433">
        <f t="shared" ca="1" si="44"/>
        <v>0</v>
      </c>
      <c r="Z230" s="434"/>
      <c r="AB230" s="431"/>
      <c r="AC230" s="569"/>
      <c r="AD230" s="569"/>
      <c r="AE230" s="569"/>
      <c r="AF230" s="569"/>
      <c r="AG230" s="569"/>
      <c r="AH230" s="569"/>
      <c r="AI230" s="569"/>
      <c r="AJ230" s="569"/>
      <c r="AK230" s="569"/>
      <c r="AL230" s="569"/>
      <c r="AM230" s="432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3" t="str">
        <f t="shared" ca="1" si="34"/>
        <v/>
      </c>
      <c r="D231" s="146" t="str">
        <f ca="1">ORÇAMENTO!O231</f>
        <v>-</v>
      </c>
      <c r="E231" s="206" t="str">
        <f t="shared" ca="1" si="35"/>
        <v>(abra o arquivo 'Referência 05-2023.xls)</v>
      </c>
      <c r="F231" s="207" t="str">
        <f t="shared" ca="1" si="36"/>
        <v>-</v>
      </c>
      <c r="G231" s="151">
        <f ca="1">IF(RegimeExecucao="Global","",ORÇAMENTO!T231)</f>
        <v>0</v>
      </c>
      <c r="H231" s="151">
        <f ca="1">IF(RegimeExecucao="Global","",ORÇAMENTO!W231)</f>
        <v>0</v>
      </c>
      <c r="I231" s="154">
        <f ca="1">ORÇAMENTO!X231</f>
        <v>0</v>
      </c>
      <c r="J231" s="427">
        <f t="shared" ca="1" si="37"/>
        <v>0</v>
      </c>
      <c r="K231" s="151">
        <f t="shared" ca="1" si="38"/>
        <v>0</v>
      </c>
      <c r="L231" s="428">
        <f t="shared" ca="1" si="39"/>
        <v>0</v>
      </c>
      <c r="M231" s="429">
        <f ca="1">IF($A231="S",VTOTALBM,IF($A231=0,0,ROUND(SomaAgrupBM,15-13*ORÇAMENTO!$AF$11)))</f>
        <v>0</v>
      </c>
      <c r="N231" s="430">
        <f t="shared" ca="1" si="40"/>
        <v>0</v>
      </c>
      <c r="O231" s="154">
        <f ca="1">IF($A231="S",VTOTALBM,IF($A231=0,0,ROUND(SomaAgrupBM,15-13*ORÇAMENTO!$AF$11)))</f>
        <v>0</v>
      </c>
      <c r="Q231" s="431"/>
      <c r="R231" s="432"/>
      <c r="T231" s="146" t="str">
        <f t="shared" ca="1" si="41"/>
        <v/>
      </c>
      <c r="U231" s="206" t="str">
        <f t="shared" ca="1" si="42"/>
        <v/>
      </c>
      <c r="V231" s="207" t="str">
        <f t="shared" ca="1" si="43"/>
        <v/>
      </c>
      <c r="W231" s="595">
        <f ca="1">IF($Y231&gt;0,CHOOSE(MATCH(RegimeExecucao,{"Unitário","Global"},0),IF($A231="S",$Y231/$X231,""),($Y231/$X231)*100),0)</f>
        <v>0</v>
      </c>
      <c r="X231" s="433" t="str">
        <f ca="1">IF($Y231&gt;0,CHOOSE(MATCH(RegimeExecucao,{"Unitário","Global"},0),IF($A231="S",ROUND($H231,ORÇAMENTO!$AF$10),""),ROUND($I231,ORÇAMENTO!$AF$11)),"")</f>
        <v/>
      </c>
      <c r="Y231" s="433">
        <f t="shared" ca="1" si="44"/>
        <v>0</v>
      </c>
      <c r="Z231" s="434"/>
      <c r="AB231" s="431"/>
      <c r="AC231" s="569"/>
      <c r="AD231" s="569"/>
      <c r="AE231" s="569"/>
      <c r="AF231" s="569"/>
      <c r="AG231" s="569"/>
      <c r="AH231" s="569"/>
      <c r="AI231" s="569"/>
      <c r="AJ231" s="569"/>
      <c r="AK231" s="569"/>
      <c r="AL231" s="569"/>
      <c r="AM231" s="432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3" t="str">
        <f t="shared" ca="1" si="34"/>
        <v/>
      </c>
      <c r="D232" s="146" t="str">
        <f ca="1">ORÇAMENTO!O232</f>
        <v>-</v>
      </c>
      <c r="E232" s="206" t="str">
        <f t="shared" ca="1" si="35"/>
        <v>(abra o arquivo 'Referência 05-2023.xls)</v>
      </c>
      <c r="F232" s="207" t="str">
        <f t="shared" ca="1" si="36"/>
        <v>-</v>
      </c>
      <c r="G232" s="151">
        <f ca="1">IF(RegimeExecucao="Global","",ORÇAMENTO!T232)</f>
        <v>0</v>
      </c>
      <c r="H232" s="151">
        <f ca="1">IF(RegimeExecucao="Global","",ORÇAMENTO!W232)</f>
        <v>0</v>
      </c>
      <c r="I232" s="154">
        <f ca="1">ORÇAMENTO!X232</f>
        <v>0</v>
      </c>
      <c r="J232" s="427">
        <f t="shared" ca="1" si="37"/>
        <v>0</v>
      </c>
      <c r="K232" s="151">
        <f t="shared" ca="1" si="38"/>
        <v>0</v>
      </c>
      <c r="L232" s="428">
        <f t="shared" ca="1" si="39"/>
        <v>0</v>
      </c>
      <c r="M232" s="429">
        <f ca="1">IF($A232="S",VTOTALBM,IF($A232=0,0,ROUND(SomaAgrupBM,15-13*ORÇAMENTO!$AF$11)))</f>
        <v>0</v>
      </c>
      <c r="N232" s="430">
        <f t="shared" ca="1" si="40"/>
        <v>0</v>
      </c>
      <c r="O232" s="154">
        <f ca="1">IF($A232="S",VTOTALBM,IF($A232=0,0,ROUND(SomaAgrupBM,15-13*ORÇAMENTO!$AF$11)))</f>
        <v>0</v>
      </c>
      <c r="Q232" s="431"/>
      <c r="R232" s="432"/>
      <c r="T232" s="146" t="str">
        <f t="shared" ca="1" si="41"/>
        <v/>
      </c>
      <c r="U232" s="206" t="str">
        <f t="shared" ca="1" si="42"/>
        <v/>
      </c>
      <c r="V232" s="207" t="str">
        <f t="shared" ca="1" si="43"/>
        <v/>
      </c>
      <c r="W232" s="595">
        <f ca="1">IF($Y232&gt;0,CHOOSE(MATCH(RegimeExecucao,{"Unitário","Global"},0),IF($A232="S",$Y232/$X232,""),($Y232/$X232)*100),0)</f>
        <v>0</v>
      </c>
      <c r="X232" s="433" t="str">
        <f ca="1">IF($Y232&gt;0,CHOOSE(MATCH(RegimeExecucao,{"Unitário","Global"},0),IF($A232="S",ROUND($H232,ORÇAMENTO!$AF$10),""),ROUND($I232,ORÇAMENTO!$AF$11)),"")</f>
        <v/>
      </c>
      <c r="Y232" s="433">
        <f t="shared" ca="1" si="44"/>
        <v>0</v>
      </c>
      <c r="Z232" s="434"/>
      <c r="AB232" s="431"/>
      <c r="AC232" s="569"/>
      <c r="AD232" s="569"/>
      <c r="AE232" s="569"/>
      <c r="AF232" s="569"/>
      <c r="AG232" s="569"/>
      <c r="AH232" s="569"/>
      <c r="AI232" s="569"/>
      <c r="AJ232" s="569"/>
      <c r="AK232" s="569"/>
      <c r="AL232" s="569"/>
      <c r="AM232" s="432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3" t="str">
        <f t="shared" ca="1" si="34"/>
        <v/>
      </c>
      <c r="D233" s="146" t="str">
        <f ca="1">ORÇAMENTO!O233</f>
        <v>-</v>
      </c>
      <c r="E233" s="206" t="str">
        <f t="shared" ca="1" si="35"/>
        <v>(abra o arquivo 'Referência 05-2023.xls)</v>
      </c>
      <c r="F233" s="207" t="str">
        <f t="shared" ca="1" si="36"/>
        <v>-</v>
      </c>
      <c r="G233" s="151">
        <f ca="1">IF(RegimeExecucao="Global","",ORÇAMENTO!T233)</f>
        <v>0</v>
      </c>
      <c r="H233" s="151">
        <f ca="1">IF(RegimeExecucao="Global","",ORÇAMENTO!W233)</f>
        <v>0</v>
      </c>
      <c r="I233" s="154">
        <f ca="1">ORÇAMENTO!X233</f>
        <v>0</v>
      </c>
      <c r="J233" s="427">
        <f t="shared" ca="1" si="37"/>
        <v>0</v>
      </c>
      <c r="K233" s="151">
        <f t="shared" ca="1" si="38"/>
        <v>0</v>
      </c>
      <c r="L233" s="428">
        <f t="shared" ca="1" si="39"/>
        <v>0</v>
      </c>
      <c r="M233" s="429">
        <f ca="1">IF($A233="S",VTOTALBM,IF($A233=0,0,ROUND(SomaAgrupBM,15-13*ORÇAMENTO!$AF$11)))</f>
        <v>0</v>
      </c>
      <c r="N233" s="430">
        <f t="shared" ca="1" si="40"/>
        <v>0</v>
      </c>
      <c r="O233" s="154">
        <f ca="1">IF($A233="S",VTOTALBM,IF($A233=0,0,ROUND(SomaAgrupBM,15-13*ORÇAMENTO!$AF$11)))</f>
        <v>0</v>
      </c>
      <c r="Q233" s="431"/>
      <c r="R233" s="432"/>
      <c r="T233" s="146" t="str">
        <f t="shared" ca="1" si="41"/>
        <v/>
      </c>
      <c r="U233" s="206" t="str">
        <f t="shared" ca="1" si="42"/>
        <v/>
      </c>
      <c r="V233" s="207" t="str">
        <f t="shared" ca="1" si="43"/>
        <v/>
      </c>
      <c r="W233" s="595">
        <f ca="1">IF($Y233&gt;0,CHOOSE(MATCH(RegimeExecucao,{"Unitário","Global"},0),IF($A233="S",$Y233/$X233,""),($Y233/$X233)*100),0)</f>
        <v>0</v>
      </c>
      <c r="X233" s="433" t="str">
        <f ca="1">IF($Y233&gt;0,CHOOSE(MATCH(RegimeExecucao,{"Unitário","Global"},0),IF($A233="S",ROUND($H233,ORÇAMENTO!$AF$10),""),ROUND($I233,ORÇAMENTO!$AF$11)),"")</f>
        <v/>
      </c>
      <c r="Y233" s="433">
        <f t="shared" ca="1" si="44"/>
        <v>0</v>
      </c>
      <c r="Z233" s="434"/>
      <c r="AB233" s="431"/>
      <c r="AC233" s="569"/>
      <c r="AD233" s="569"/>
      <c r="AE233" s="569"/>
      <c r="AF233" s="569"/>
      <c r="AG233" s="569"/>
      <c r="AH233" s="569"/>
      <c r="AI233" s="569"/>
      <c r="AJ233" s="569"/>
      <c r="AK233" s="569"/>
      <c r="AL233" s="569"/>
      <c r="AM233" s="432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3" t="str">
        <f t="shared" ca="1" si="34"/>
        <v/>
      </c>
      <c r="D234" s="146" t="str">
        <f ca="1">ORÇAMENTO!O234</f>
        <v>-</v>
      </c>
      <c r="E234" s="206" t="str">
        <f t="shared" ca="1" si="35"/>
        <v>(abra o arquivo 'Referência 05-2023.xls)</v>
      </c>
      <c r="F234" s="207" t="str">
        <f t="shared" ca="1" si="36"/>
        <v>-</v>
      </c>
      <c r="G234" s="151">
        <f ca="1">IF(RegimeExecucao="Global","",ORÇAMENTO!T234)</f>
        <v>0</v>
      </c>
      <c r="H234" s="151">
        <f ca="1">IF(RegimeExecucao="Global","",ORÇAMENTO!W234)</f>
        <v>0</v>
      </c>
      <c r="I234" s="154">
        <f ca="1">ORÇAMENTO!X234</f>
        <v>0</v>
      </c>
      <c r="J234" s="427">
        <f t="shared" ca="1" si="37"/>
        <v>0</v>
      </c>
      <c r="K234" s="151">
        <f t="shared" ca="1" si="38"/>
        <v>0</v>
      </c>
      <c r="L234" s="428">
        <f t="shared" ca="1" si="39"/>
        <v>0</v>
      </c>
      <c r="M234" s="429">
        <f ca="1">IF($A234="S",VTOTALBM,IF($A234=0,0,ROUND(SomaAgrupBM,15-13*ORÇAMENTO!$AF$11)))</f>
        <v>0</v>
      </c>
      <c r="N234" s="430">
        <f t="shared" ca="1" si="40"/>
        <v>0</v>
      </c>
      <c r="O234" s="154">
        <f ca="1">IF($A234="S",VTOTALBM,IF($A234=0,0,ROUND(SomaAgrupBM,15-13*ORÇAMENTO!$AF$11)))</f>
        <v>0</v>
      </c>
      <c r="Q234" s="431"/>
      <c r="R234" s="432"/>
      <c r="T234" s="146" t="str">
        <f t="shared" ca="1" si="41"/>
        <v/>
      </c>
      <c r="U234" s="206" t="str">
        <f t="shared" ca="1" si="42"/>
        <v/>
      </c>
      <c r="V234" s="207" t="str">
        <f t="shared" ca="1" si="43"/>
        <v/>
      </c>
      <c r="W234" s="595">
        <f ca="1">IF($Y234&gt;0,CHOOSE(MATCH(RegimeExecucao,{"Unitário","Global"},0),IF($A234="S",$Y234/$X234,""),($Y234/$X234)*100),0)</f>
        <v>0</v>
      </c>
      <c r="X234" s="433" t="str">
        <f ca="1">IF($Y234&gt;0,CHOOSE(MATCH(RegimeExecucao,{"Unitário","Global"},0),IF($A234="S",ROUND($H234,ORÇAMENTO!$AF$10),""),ROUND($I234,ORÇAMENTO!$AF$11)),"")</f>
        <v/>
      </c>
      <c r="Y234" s="433">
        <f t="shared" ca="1" si="44"/>
        <v>0</v>
      </c>
      <c r="Z234" s="434"/>
      <c r="AB234" s="431"/>
      <c r="AC234" s="569"/>
      <c r="AD234" s="569"/>
      <c r="AE234" s="569"/>
      <c r="AF234" s="569"/>
      <c r="AG234" s="569"/>
      <c r="AH234" s="569"/>
      <c r="AI234" s="569"/>
      <c r="AJ234" s="569"/>
      <c r="AK234" s="569"/>
      <c r="AL234" s="569"/>
      <c r="AM234" s="432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3" t="str">
        <f t="shared" ca="1" si="34"/>
        <v/>
      </c>
      <c r="D235" s="146" t="str">
        <f ca="1">ORÇAMENTO!O235</f>
        <v>-</v>
      </c>
      <c r="E235" s="206" t="str">
        <f t="shared" ca="1" si="35"/>
        <v>(abra o arquivo 'Referência 05-2023.xls)</v>
      </c>
      <c r="F235" s="207" t="str">
        <f t="shared" ca="1" si="36"/>
        <v>-</v>
      </c>
      <c r="G235" s="151">
        <f ca="1">IF(RegimeExecucao="Global","",ORÇAMENTO!T235)</f>
        <v>0</v>
      </c>
      <c r="H235" s="151">
        <f ca="1">IF(RegimeExecucao="Global","",ORÇAMENTO!W235)</f>
        <v>0</v>
      </c>
      <c r="I235" s="154">
        <f ca="1">ORÇAMENTO!X235</f>
        <v>0</v>
      </c>
      <c r="J235" s="427">
        <f t="shared" ca="1" si="37"/>
        <v>0</v>
      </c>
      <c r="K235" s="151">
        <f t="shared" ca="1" si="38"/>
        <v>0</v>
      </c>
      <c r="L235" s="428">
        <f t="shared" ca="1" si="39"/>
        <v>0</v>
      </c>
      <c r="M235" s="429">
        <f ca="1">IF($A235="S",VTOTALBM,IF($A235=0,0,ROUND(SomaAgrupBM,15-13*ORÇAMENTO!$AF$11)))</f>
        <v>0</v>
      </c>
      <c r="N235" s="430">
        <f t="shared" ca="1" si="40"/>
        <v>0</v>
      </c>
      <c r="O235" s="154">
        <f ca="1">IF($A235="S",VTOTALBM,IF($A235=0,0,ROUND(SomaAgrupBM,15-13*ORÇAMENTO!$AF$11)))</f>
        <v>0</v>
      </c>
      <c r="Q235" s="431"/>
      <c r="R235" s="432"/>
      <c r="T235" s="146" t="str">
        <f t="shared" ca="1" si="41"/>
        <v/>
      </c>
      <c r="U235" s="206" t="str">
        <f t="shared" ca="1" si="42"/>
        <v/>
      </c>
      <c r="V235" s="207" t="str">
        <f t="shared" ca="1" si="43"/>
        <v/>
      </c>
      <c r="W235" s="595">
        <f ca="1">IF($Y235&gt;0,CHOOSE(MATCH(RegimeExecucao,{"Unitário","Global"},0),IF($A235="S",$Y235/$X235,""),($Y235/$X235)*100),0)</f>
        <v>0</v>
      </c>
      <c r="X235" s="433" t="str">
        <f ca="1">IF($Y235&gt;0,CHOOSE(MATCH(RegimeExecucao,{"Unitário","Global"},0),IF($A235="S",ROUND($H235,ORÇAMENTO!$AF$10),""),ROUND($I235,ORÇAMENTO!$AF$11)),"")</f>
        <v/>
      </c>
      <c r="Y235" s="433">
        <f t="shared" ca="1" si="44"/>
        <v>0</v>
      </c>
      <c r="Z235" s="434"/>
      <c r="AB235" s="431"/>
      <c r="AC235" s="569"/>
      <c r="AD235" s="569"/>
      <c r="AE235" s="569"/>
      <c r="AF235" s="569"/>
      <c r="AG235" s="569"/>
      <c r="AH235" s="569"/>
      <c r="AI235" s="569"/>
      <c r="AJ235" s="569"/>
      <c r="AK235" s="569"/>
      <c r="AL235" s="569"/>
      <c r="AM235" s="432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3" t="str">
        <f t="shared" ca="1" si="34"/>
        <v/>
      </c>
      <c r="D236" s="146" t="str">
        <f ca="1">ORÇAMENTO!O236</f>
        <v>-</v>
      </c>
      <c r="E236" s="206" t="str">
        <f t="shared" ca="1" si="35"/>
        <v>(abra o arquivo 'Referência 05-2023.xls)</v>
      </c>
      <c r="F236" s="207" t="str">
        <f t="shared" ca="1" si="36"/>
        <v>-</v>
      </c>
      <c r="G236" s="151">
        <f ca="1">IF(RegimeExecucao="Global","",ORÇAMENTO!T236)</f>
        <v>0</v>
      </c>
      <c r="H236" s="151">
        <f ca="1">IF(RegimeExecucao="Global","",ORÇAMENTO!W236)</f>
        <v>0</v>
      </c>
      <c r="I236" s="154">
        <f ca="1">ORÇAMENTO!X236</f>
        <v>0</v>
      </c>
      <c r="J236" s="427">
        <f t="shared" ca="1" si="37"/>
        <v>0</v>
      </c>
      <c r="K236" s="151">
        <f t="shared" ca="1" si="38"/>
        <v>0</v>
      </c>
      <c r="L236" s="428">
        <f t="shared" ca="1" si="39"/>
        <v>0</v>
      </c>
      <c r="M236" s="429">
        <f ca="1">IF($A236="S",VTOTALBM,IF($A236=0,0,ROUND(SomaAgrupBM,15-13*ORÇAMENTO!$AF$11)))</f>
        <v>0</v>
      </c>
      <c r="N236" s="430">
        <f t="shared" ca="1" si="40"/>
        <v>0</v>
      </c>
      <c r="O236" s="154">
        <f ca="1">IF($A236="S",VTOTALBM,IF($A236=0,0,ROUND(SomaAgrupBM,15-13*ORÇAMENTO!$AF$11)))</f>
        <v>0</v>
      </c>
      <c r="Q236" s="431"/>
      <c r="R236" s="432"/>
      <c r="T236" s="146" t="str">
        <f t="shared" ca="1" si="41"/>
        <v/>
      </c>
      <c r="U236" s="206" t="str">
        <f t="shared" ca="1" si="42"/>
        <v/>
      </c>
      <c r="V236" s="207" t="str">
        <f t="shared" ca="1" si="43"/>
        <v/>
      </c>
      <c r="W236" s="595">
        <f ca="1">IF($Y236&gt;0,CHOOSE(MATCH(RegimeExecucao,{"Unitário","Global"},0),IF($A236="S",$Y236/$X236,""),($Y236/$X236)*100),0)</f>
        <v>0</v>
      </c>
      <c r="X236" s="433" t="str">
        <f ca="1">IF($Y236&gt;0,CHOOSE(MATCH(RegimeExecucao,{"Unitário","Global"},0),IF($A236="S",ROUND($H236,ORÇAMENTO!$AF$10),""),ROUND($I236,ORÇAMENTO!$AF$11)),"")</f>
        <v/>
      </c>
      <c r="Y236" s="433">
        <f t="shared" ca="1" si="44"/>
        <v>0</v>
      </c>
      <c r="Z236" s="434"/>
      <c r="AB236" s="431"/>
      <c r="AC236" s="569"/>
      <c r="AD236" s="569"/>
      <c r="AE236" s="569"/>
      <c r="AF236" s="569"/>
      <c r="AG236" s="569"/>
      <c r="AH236" s="569"/>
      <c r="AI236" s="569"/>
      <c r="AJ236" s="569"/>
      <c r="AK236" s="569"/>
      <c r="AL236" s="569"/>
      <c r="AM236" s="432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3" t="str">
        <f t="shared" ca="1" si="34"/>
        <v/>
      </c>
      <c r="D237" s="146" t="str">
        <f ca="1">ORÇAMENTO!O237</f>
        <v>-</v>
      </c>
      <c r="E237" s="206" t="str">
        <f t="shared" ca="1" si="35"/>
        <v>(abra o arquivo 'Referência 05-2023.xls)</v>
      </c>
      <c r="F237" s="207" t="str">
        <f t="shared" ca="1" si="36"/>
        <v>-</v>
      </c>
      <c r="G237" s="151">
        <f ca="1">IF(RegimeExecucao="Global","",ORÇAMENTO!T237)</f>
        <v>0</v>
      </c>
      <c r="H237" s="151">
        <f ca="1">IF(RegimeExecucao="Global","",ORÇAMENTO!W237)</f>
        <v>0</v>
      </c>
      <c r="I237" s="154">
        <f ca="1">ORÇAMENTO!X237</f>
        <v>0</v>
      </c>
      <c r="J237" s="427">
        <f t="shared" ca="1" si="37"/>
        <v>0</v>
      </c>
      <c r="K237" s="151">
        <f t="shared" ca="1" si="38"/>
        <v>0</v>
      </c>
      <c r="L237" s="428">
        <f t="shared" ca="1" si="39"/>
        <v>0</v>
      </c>
      <c r="M237" s="429">
        <f ca="1">IF($A237="S",VTOTALBM,IF($A237=0,0,ROUND(SomaAgrupBM,15-13*ORÇAMENTO!$AF$11)))</f>
        <v>0</v>
      </c>
      <c r="N237" s="430">
        <f t="shared" ca="1" si="40"/>
        <v>0</v>
      </c>
      <c r="O237" s="154">
        <f ca="1">IF($A237="S",VTOTALBM,IF($A237=0,0,ROUND(SomaAgrupBM,15-13*ORÇAMENTO!$AF$11)))</f>
        <v>0</v>
      </c>
      <c r="Q237" s="431"/>
      <c r="R237" s="432"/>
      <c r="T237" s="146" t="str">
        <f t="shared" ca="1" si="41"/>
        <v/>
      </c>
      <c r="U237" s="206" t="str">
        <f t="shared" ca="1" si="42"/>
        <v/>
      </c>
      <c r="V237" s="207" t="str">
        <f t="shared" ca="1" si="43"/>
        <v/>
      </c>
      <c r="W237" s="595">
        <f ca="1">IF($Y237&gt;0,CHOOSE(MATCH(RegimeExecucao,{"Unitário","Global"},0),IF($A237="S",$Y237/$X237,""),($Y237/$X237)*100),0)</f>
        <v>0</v>
      </c>
      <c r="X237" s="433" t="str">
        <f ca="1">IF($Y237&gt;0,CHOOSE(MATCH(RegimeExecucao,{"Unitário","Global"},0),IF($A237="S",ROUND($H237,ORÇAMENTO!$AF$10),""),ROUND($I237,ORÇAMENTO!$AF$11)),"")</f>
        <v/>
      </c>
      <c r="Y237" s="433">
        <f t="shared" ca="1" si="44"/>
        <v>0</v>
      </c>
      <c r="Z237" s="434"/>
      <c r="AB237" s="431"/>
      <c r="AC237" s="569"/>
      <c r="AD237" s="569"/>
      <c r="AE237" s="569"/>
      <c r="AF237" s="569"/>
      <c r="AG237" s="569"/>
      <c r="AH237" s="569"/>
      <c r="AI237" s="569"/>
      <c r="AJ237" s="569"/>
      <c r="AK237" s="569"/>
      <c r="AL237" s="569"/>
      <c r="AM237" s="432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3" t="str">
        <f t="shared" ca="1" si="34"/>
        <v/>
      </c>
      <c r="D238" s="146" t="str">
        <f ca="1">ORÇAMENTO!O238</f>
        <v>-</v>
      </c>
      <c r="E238" s="206" t="str">
        <f t="shared" ca="1" si="35"/>
        <v>(abra o arquivo 'Referência 05-2023.xls)</v>
      </c>
      <c r="F238" s="207" t="str">
        <f t="shared" ca="1" si="36"/>
        <v>-</v>
      </c>
      <c r="G238" s="151">
        <f ca="1">IF(RegimeExecucao="Global","",ORÇAMENTO!T238)</f>
        <v>0</v>
      </c>
      <c r="H238" s="151">
        <f ca="1">IF(RegimeExecucao="Global","",ORÇAMENTO!W238)</f>
        <v>0</v>
      </c>
      <c r="I238" s="154">
        <f ca="1">ORÇAMENTO!X238</f>
        <v>0</v>
      </c>
      <c r="J238" s="427">
        <f t="shared" ca="1" si="37"/>
        <v>0</v>
      </c>
      <c r="K238" s="151">
        <f t="shared" ca="1" si="38"/>
        <v>0</v>
      </c>
      <c r="L238" s="428">
        <f t="shared" ca="1" si="39"/>
        <v>0</v>
      </c>
      <c r="M238" s="429">
        <f ca="1">IF($A238="S",VTOTALBM,IF($A238=0,0,ROUND(SomaAgrupBM,15-13*ORÇAMENTO!$AF$11)))</f>
        <v>0</v>
      </c>
      <c r="N238" s="430">
        <f t="shared" ca="1" si="40"/>
        <v>0</v>
      </c>
      <c r="O238" s="154">
        <f ca="1">IF($A238="S",VTOTALBM,IF($A238=0,0,ROUND(SomaAgrupBM,15-13*ORÇAMENTO!$AF$11)))</f>
        <v>0</v>
      </c>
      <c r="Q238" s="431"/>
      <c r="R238" s="432"/>
      <c r="T238" s="146" t="str">
        <f t="shared" ca="1" si="41"/>
        <v/>
      </c>
      <c r="U238" s="206" t="str">
        <f t="shared" ca="1" si="42"/>
        <v/>
      </c>
      <c r="V238" s="207" t="str">
        <f t="shared" ca="1" si="43"/>
        <v/>
      </c>
      <c r="W238" s="595">
        <f ca="1">IF($Y238&gt;0,CHOOSE(MATCH(RegimeExecucao,{"Unitário","Global"},0),IF($A238="S",$Y238/$X238,""),($Y238/$X238)*100),0)</f>
        <v>0</v>
      </c>
      <c r="X238" s="433" t="str">
        <f ca="1">IF($Y238&gt;0,CHOOSE(MATCH(RegimeExecucao,{"Unitário","Global"},0),IF($A238="S",ROUND($H238,ORÇAMENTO!$AF$10),""),ROUND($I238,ORÇAMENTO!$AF$11)),"")</f>
        <v/>
      </c>
      <c r="Y238" s="433">
        <f t="shared" ca="1" si="44"/>
        <v>0</v>
      </c>
      <c r="Z238" s="434"/>
      <c r="AB238" s="431"/>
      <c r="AC238" s="569"/>
      <c r="AD238" s="569"/>
      <c r="AE238" s="569"/>
      <c r="AF238" s="569"/>
      <c r="AG238" s="569"/>
      <c r="AH238" s="569"/>
      <c r="AI238" s="569"/>
      <c r="AJ238" s="569"/>
      <c r="AK238" s="569"/>
      <c r="AL238" s="569"/>
      <c r="AM238" s="432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3" t="str">
        <f t="shared" ca="1" si="34"/>
        <v/>
      </c>
      <c r="D239" s="146" t="str">
        <f ca="1">ORÇAMENTO!O239</f>
        <v>-</v>
      </c>
      <c r="E239" s="206" t="str">
        <f t="shared" ca="1" si="35"/>
        <v>(abra o arquivo 'Referência 05-2023.xls)</v>
      </c>
      <c r="F239" s="207" t="str">
        <f t="shared" ca="1" si="36"/>
        <v>-</v>
      </c>
      <c r="G239" s="151">
        <f ca="1">IF(RegimeExecucao="Global","",ORÇAMENTO!T239)</f>
        <v>0</v>
      </c>
      <c r="H239" s="151">
        <f ca="1">IF(RegimeExecucao="Global","",ORÇAMENTO!W239)</f>
        <v>0</v>
      </c>
      <c r="I239" s="154">
        <f ca="1">ORÇAMENTO!X239</f>
        <v>0</v>
      </c>
      <c r="J239" s="427">
        <f t="shared" ca="1" si="37"/>
        <v>0</v>
      </c>
      <c r="K239" s="151">
        <f t="shared" ca="1" si="38"/>
        <v>0</v>
      </c>
      <c r="L239" s="428">
        <f t="shared" ca="1" si="39"/>
        <v>0</v>
      </c>
      <c r="M239" s="429">
        <f ca="1">IF($A239="S",VTOTALBM,IF($A239=0,0,ROUND(SomaAgrupBM,15-13*ORÇAMENTO!$AF$11)))</f>
        <v>0</v>
      </c>
      <c r="N239" s="430">
        <f t="shared" ca="1" si="40"/>
        <v>0</v>
      </c>
      <c r="O239" s="154">
        <f ca="1">IF($A239="S",VTOTALBM,IF($A239=0,0,ROUND(SomaAgrupBM,15-13*ORÇAMENTO!$AF$11)))</f>
        <v>0</v>
      </c>
      <c r="Q239" s="431"/>
      <c r="R239" s="432"/>
      <c r="T239" s="146" t="str">
        <f t="shared" ca="1" si="41"/>
        <v/>
      </c>
      <c r="U239" s="206" t="str">
        <f t="shared" ca="1" si="42"/>
        <v/>
      </c>
      <c r="V239" s="207" t="str">
        <f t="shared" ca="1" si="43"/>
        <v/>
      </c>
      <c r="W239" s="595">
        <f ca="1">IF($Y239&gt;0,CHOOSE(MATCH(RegimeExecucao,{"Unitário","Global"},0),IF($A239="S",$Y239/$X239,""),($Y239/$X239)*100),0)</f>
        <v>0</v>
      </c>
      <c r="X239" s="433" t="str">
        <f ca="1">IF($Y239&gt;0,CHOOSE(MATCH(RegimeExecucao,{"Unitário","Global"},0),IF($A239="S",ROUND($H239,ORÇAMENTO!$AF$10),""),ROUND($I239,ORÇAMENTO!$AF$11)),"")</f>
        <v/>
      </c>
      <c r="Y239" s="433">
        <f t="shared" ca="1" si="44"/>
        <v>0</v>
      </c>
      <c r="Z239" s="434"/>
      <c r="AB239" s="431"/>
      <c r="AC239" s="569"/>
      <c r="AD239" s="569"/>
      <c r="AE239" s="569"/>
      <c r="AF239" s="569"/>
      <c r="AG239" s="569"/>
      <c r="AH239" s="569"/>
      <c r="AI239" s="569"/>
      <c r="AJ239" s="569"/>
      <c r="AK239" s="569"/>
      <c r="AL239" s="569"/>
      <c r="AM239" s="432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3" t="str">
        <f t="shared" ca="1" si="34"/>
        <v/>
      </c>
      <c r="D240" s="146" t="str">
        <f ca="1">ORÇAMENTO!O240</f>
        <v>-</v>
      </c>
      <c r="E240" s="206" t="str">
        <f t="shared" ca="1" si="35"/>
        <v>(abra o arquivo 'Referência 05-2023.xls)</v>
      </c>
      <c r="F240" s="207" t="str">
        <f t="shared" ca="1" si="36"/>
        <v>-</v>
      </c>
      <c r="G240" s="151">
        <f ca="1">IF(RegimeExecucao="Global","",ORÇAMENTO!T240)</f>
        <v>0</v>
      </c>
      <c r="H240" s="151">
        <f ca="1">IF(RegimeExecucao="Global","",ORÇAMENTO!W240)</f>
        <v>0</v>
      </c>
      <c r="I240" s="154">
        <f ca="1">ORÇAMENTO!X240</f>
        <v>0</v>
      </c>
      <c r="J240" s="427">
        <f t="shared" ca="1" si="37"/>
        <v>0</v>
      </c>
      <c r="K240" s="151">
        <f t="shared" ca="1" si="38"/>
        <v>0</v>
      </c>
      <c r="L240" s="428">
        <f t="shared" ca="1" si="39"/>
        <v>0</v>
      </c>
      <c r="M240" s="429">
        <f ca="1">IF($A240="S",VTOTALBM,IF($A240=0,0,ROUND(SomaAgrupBM,15-13*ORÇAMENTO!$AF$11)))</f>
        <v>0</v>
      </c>
      <c r="N240" s="430">
        <f t="shared" ca="1" si="40"/>
        <v>0</v>
      </c>
      <c r="O240" s="154">
        <f ca="1">IF($A240="S",VTOTALBM,IF($A240=0,0,ROUND(SomaAgrupBM,15-13*ORÇAMENTO!$AF$11)))</f>
        <v>0</v>
      </c>
      <c r="Q240" s="431"/>
      <c r="R240" s="432"/>
      <c r="T240" s="146" t="str">
        <f t="shared" ca="1" si="41"/>
        <v/>
      </c>
      <c r="U240" s="206" t="str">
        <f t="shared" ca="1" si="42"/>
        <v/>
      </c>
      <c r="V240" s="207" t="str">
        <f t="shared" ca="1" si="43"/>
        <v/>
      </c>
      <c r="W240" s="595">
        <f ca="1">IF($Y240&gt;0,CHOOSE(MATCH(RegimeExecucao,{"Unitário","Global"},0),IF($A240="S",$Y240/$X240,""),($Y240/$X240)*100),0)</f>
        <v>0</v>
      </c>
      <c r="X240" s="433" t="str">
        <f ca="1">IF($Y240&gt;0,CHOOSE(MATCH(RegimeExecucao,{"Unitário","Global"},0),IF($A240="S",ROUND($H240,ORÇAMENTO!$AF$10),""),ROUND($I240,ORÇAMENTO!$AF$11)),"")</f>
        <v/>
      </c>
      <c r="Y240" s="433">
        <f t="shared" ca="1" si="44"/>
        <v>0</v>
      </c>
      <c r="Z240" s="434"/>
      <c r="AB240" s="431"/>
      <c r="AC240" s="569"/>
      <c r="AD240" s="569"/>
      <c r="AE240" s="569"/>
      <c r="AF240" s="569"/>
      <c r="AG240" s="569"/>
      <c r="AH240" s="569"/>
      <c r="AI240" s="569"/>
      <c r="AJ240" s="569"/>
      <c r="AK240" s="569"/>
      <c r="AL240" s="569"/>
      <c r="AM240" s="432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3" t="str">
        <f t="shared" ca="1" si="34"/>
        <v/>
      </c>
      <c r="D241" s="146" t="str">
        <f ca="1">ORÇAMENTO!O241</f>
        <v>-</v>
      </c>
      <c r="E241" s="206" t="str">
        <f t="shared" ca="1" si="35"/>
        <v>(abra o arquivo 'Referência 05-2023.xls)</v>
      </c>
      <c r="F241" s="207" t="str">
        <f t="shared" ca="1" si="36"/>
        <v>-</v>
      </c>
      <c r="G241" s="151">
        <f ca="1">IF(RegimeExecucao="Global","",ORÇAMENTO!T241)</f>
        <v>0</v>
      </c>
      <c r="H241" s="151">
        <f ca="1">IF(RegimeExecucao="Global","",ORÇAMENTO!W241)</f>
        <v>0</v>
      </c>
      <c r="I241" s="154">
        <f ca="1">ORÇAMENTO!X241</f>
        <v>0</v>
      </c>
      <c r="J241" s="427">
        <f t="shared" ca="1" si="37"/>
        <v>0</v>
      </c>
      <c r="K241" s="151">
        <f t="shared" ca="1" si="38"/>
        <v>0</v>
      </c>
      <c r="L241" s="428">
        <f t="shared" ca="1" si="39"/>
        <v>0</v>
      </c>
      <c r="M241" s="429">
        <f ca="1">IF($A241="S",VTOTALBM,IF($A241=0,0,ROUND(SomaAgrupBM,15-13*ORÇAMENTO!$AF$11)))</f>
        <v>0</v>
      </c>
      <c r="N241" s="430">
        <f t="shared" ca="1" si="40"/>
        <v>0</v>
      </c>
      <c r="O241" s="154">
        <f ca="1">IF($A241="S",VTOTALBM,IF($A241=0,0,ROUND(SomaAgrupBM,15-13*ORÇAMENTO!$AF$11)))</f>
        <v>0</v>
      </c>
      <c r="Q241" s="431"/>
      <c r="R241" s="432"/>
      <c r="T241" s="146" t="str">
        <f t="shared" ca="1" si="41"/>
        <v/>
      </c>
      <c r="U241" s="206" t="str">
        <f t="shared" ca="1" si="42"/>
        <v/>
      </c>
      <c r="V241" s="207" t="str">
        <f t="shared" ca="1" si="43"/>
        <v/>
      </c>
      <c r="W241" s="595">
        <f ca="1">IF($Y241&gt;0,CHOOSE(MATCH(RegimeExecucao,{"Unitário","Global"},0),IF($A241="S",$Y241/$X241,""),($Y241/$X241)*100),0)</f>
        <v>0</v>
      </c>
      <c r="X241" s="433" t="str">
        <f ca="1">IF($Y241&gt;0,CHOOSE(MATCH(RegimeExecucao,{"Unitário","Global"},0),IF($A241="S",ROUND($H241,ORÇAMENTO!$AF$10),""),ROUND($I241,ORÇAMENTO!$AF$11)),"")</f>
        <v/>
      </c>
      <c r="Y241" s="433">
        <f t="shared" ca="1" si="44"/>
        <v>0</v>
      </c>
      <c r="Z241" s="434"/>
      <c r="AB241" s="431"/>
      <c r="AC241" s="569"/>
      <c r="AD241" s="569"/>
      <c r="AE241" s="569"/>
      <c r="AF241" s="569"/>
      <c r="AG241" s="569"/>
      <c r="AH241" s="569"/>
      <c r="AI241" s="569"/>
      <c r="AJ241" s="569"/>
      <c r="AK241" s="569"/>
      <c r="AL241" s="569"/>
      <c r="AM241" s="432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3" t="str">
        <f t="shared" ca="1" si="34"/>
        <v/>
      </c>
      <c r="D242" s="146" t="str">
        <f ca="1">ORÇAMENTO!O242</f>
        <v>-</v>
      </c>
      <c r="E242" s="206" t="str">
        <f t="shared" ca="1" si="35"/>
        <v>(abra o arquivo 'Referência 05-2023.xls)</v>
      </c>
      <c r="F242" s="207" t="str">
        <f t="shared" ca="1" si="36"/>
        <v>-</v>
      </c>
      <c r="G242" s="151">
        <f ca="1">IF(RegimeExecucao="Global","",ORÇAMENTO!T242)</f>
        <v>0</v>
      </c>
      <c r="H242" s="151">
        <f ca="1">IF(RegimeExecucao="Global","",ORÇAMENTO!W242)</f>
        <v>0</v>
      </c>
      <c r="I242" s="154">
        <f ca="1">ORÇAMENTO!X242</f>
        <v>0</v>
      </c>
      <c r="J242" s="427">
        <f t="shared" ca="1" si="37"/>
        <v>0</v>
      </c>
      <c r="K242" s="151">
        <f t="shared" ca="1" si="38"/>
        <v>0</v>
      </c>
      <c r="L242" s="428">
        <f t="shared" ca="1" si="39"/>
        <v>0</v>
      </c>
      <c r="M242" s="429">
        <f ca="1">IF($A242="S",VTOTALBM,IF($A242=0,0,ROUND(SomaAgrupBM,15-13*ORÇAMENTO!$AF$11)))</f>
        <v>0</v>
      </c>
      <c r="N242" s="430">
        <f t="shared" ca="1" si="40"/>
        <v>0</v>
      </c>
      <c r="O242" s="154">
        <f ca="1">IF($A242="S",VTOTALBM,IF($A242=0,0,ROUND(SomaAgrupBM,15-13*ORÇAMENTO!$AF$11)))</f>
        <v>0</v>
      </c>
      <c r="Q242" s="431"/>
      <c r="R242" s="432"/>
      <c r="T242" s="146" t="str">
        <f t="shared" ca="1" si="41"/>
        <v/>
      </c>
      <c r="U242" s="206" t="str">
        <f t="shared" ca="1" si="42"/>
        <v/>
      </c>
      <c r="V242" s="207" t="str">
        <f t="shared" ca="1" si="43"/>
        <v/>
      </c>
      <c r="W242" s="595">
        <f ca="1">IF($Y242&gt;0,CHOOSE(MATCH(RegimeExecucao,{"Unitário","Global"},0),IF($A242="S",$Y242/$X242,""),($Y242/$X242)*100),0)</f>
        <v>0</v>
      </c>
      <c r="X242" s="433" t="str">
        <f ca="1">IF($Y242&gt;0,CHOOSE(MATCH(RegimeExecucao,{"Unitário","Global"},0),IF($A242="S",ROUND($H242,ORÇAMENTO!$AF$10),""),ROUND($I242,ORÇAMENTO!$AF$11)),"")</f>
        <v/>
      </c>
      <c r="Y242" s="433">
        <f t="shared" ca="1" si="44"/>
        <v>0</v>
      </c>
      <c r="Z242" s="434"/>
      <c r="AB242" s="431"/>
      <c r="AC242" s="569"/>
      <c r="AD242" s="569"/>
      <c r="AE242" s="569"/>
      <c r="AF242" s="569"/>
      <c r="AG242" s="569"/>
      <c r="AH242" s="569"/>
      <c r="AI242" s="569"/>
      <c r="AJ242" s="569"/>
      <c r="AK242" s="569"/>
      <c r="AL242" s="569"/>
      <c r="AM242" s="432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3" t="str">
        <f t="shared" ca="1" si="34"/>
        <v/>
      </c>
      <c r="D243" s="146" t="str">
        <f ca="1">ORÇAMENTO!O243</f>
        <v>-</v>
      </c>
      <c r="E243" s="206" t="str">
        <f t="shared" ca="1" si="35"/>
        <v>(abra o arquivo 'Referência 05-2023.xls)</v>
      </c>
      <c r="F243" s="207" t="str">
        <f t="shared" ca="1" si="36"/>
        <v>-</v>
      </c>
      <c r="G243" s="151">
        <f ca="1">IF(RegimeExecucao="Global","",ORÇAMENTO!T243)</f>
        <v>0</v>
      </c>
      <c r="H243" s="151">
        <f ca="1">IF(RegimeExecucao="Global","",ORÇAMENTO!W243)</f>
        <v>0</v>
      </c>
      <c r="I243" s="154">
        <f ca="1">ORÇAMENTO!X243</f>
        <v>0</v>
      </c>
      <c r="J243" s="427">
        <f t="shared" ca="1" si="37"/>
        <v>0</v>
      </c>
      <c r="K243" s="151">
        <f t="shared" ca="1" si="38"/>
        <v>0</v>
      </c>
      <c r="L243" s="428">
        <f t="shared" ca="1" si="39"/>
        <v>0</v>
      </c>
      <c r="M243" s="429">
        <f ca="1">IF($A243="S",VTOTALBM,IF($A243=0,0,ROUND(SomaAgrupBM,15-13*ORÇAMENTO!$AF$11)))</f>
        <v>0</v>
      </c>
      <c r="N243" s="430">
        <f t="shared" ca="1" si="40"/>
        <v>0</v>
      </c>
      <c r="O243" s="154">
        <f ca="1">IF($A243="S",VTOTALBM,IF($A243=0,0,ROUND(SomaAgrupBM,15-13*ORÇAMENTO!$AF$11)))</f>
        <v>0</v>
      </c>
      <c r="Q243" s="431"/>
      <c r="R243" s="432"/>
      <c r="T243" s="146" t="str">
        <f t="shared" ca="1" si="41"/>
        <v/>
      </c>
      <c r="U243" s="206" t="str">
        <f t="shared" ca="1" si="42"/>
        <v/>
      </c>
      <c r="V243" s="207" t="str">
        <f t="shared" ca="1" si="43"/>
        <v/>
      </c>
      <c r="W243" s="595">
        <f ca="1">IF($Y243&gt;0,CHOOSE(MATCH(RegimeExecucao,{"Unitário","Global"},0),IF($A243="S",$Y243/$X243,""),($Y243/$X243)*100),0)</f>
        <v>0</v>
      </c>
      <c r="X243" s="433" t="str">
        <f ca="1">IF($Y243&gt;0,CHOOSE(MATCH(RegimeExecucao,{"Unitário","Global"},0),IF($A243="S",ROUND($H243,ORÇAMENTO!$AF$10),""),ROUND($I243,ORÇAMENTO!$AF$11)),"")</f>
        <v/>
      </c>
      <c r="Y243" s="433">
        <f t="shared" ca="1" si="44"/>
        <v>0</v>
      </c>
      <c r="Z243" s="434"/>
      <c r="AB243" s="431"/>
      <c r="AC243" s="569"/>
      <c r="AD243" s="569"/>
      <c r="AE243" s="569"/>
      <c r="AF243" s="569"/>
      <c r="AG243" s="569"/>
      <c r="AH243" s="569"/>
      <c r="AI243" s="569"/>
      <c r="AJ243" s="569"/>
      <c r="AK243" s="569"/>
      <c r="AL243" s="569"/>
      <c r="AM243" s="432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3" t="str">
        <f t="shared" ca="1" si="34"/>
        <v/>
      </c>
      <c r="D244" s="146" t="str">
        <f ca="1">ORÇAMENTO!O244</f>
        <v>-</v>
      </c>
      <c r="E244" s="206" t="str">
        <f t="shared" ca="1" si="35"/>
        <v>(abra o arquivo 'Referência 05-2023.xls)</v>
      </c>
      <c r="F244" s="207" t="str">
        <f t="shared" ca="1" si="36"/>
        <v>-</v>
      </c>
      <c r="G244" s="151">
        <f ca="1">IF(RegimeExecucao="Global","",ORÇAMENTO!T244)</f>
        <v>0</v>
      </c>
      <c r="H244" s="151">
        <f ca="1">IF(RegimeExecucao="Global","",ORÇAMENTO!W244)</f>
        <v>0</v>
      </c>
      <c r="I244" s="154">
        <f ca="1">ORÇAMENTO!X244</f>
        <v>0</v>
      </c>
      <c r="J244" s="427">
        <f t="shared" ca="1" si="37"/>
        <v>0</v>
      </c>
      <c r="K244" s="151">
        <f t="shared" ca="1" si="38"/>
        <v>0</v>
      </c>
      <c r="L244" s="428">
        <f t="shared" ca="1" si="39"/>
        <v>0</v>
      </c>
      <c r="M244" s="429">
        <f ca="1">IF($A244="S",VTOTALBM,IF($A244=0,0,ROUND(SomaAgrupBM,15-13*ORÇAMENTO!$AF$11)))</f>
        <v>0</v>
      </c>
      <c r="N244" s="430">
        <f t="shared" ca="1" si="40"/>
        <v>0</v>
      </c>
      <c r="O244" s="154">
        <f ca="1">IF($A244="S",VTOTALBM,IF($A244=0,0,ROUND(SomaAgrupBM,15-13*ORÇAMENTO!$AF$11)))</f>
        <v>0</v>
      </c>
      <c r="Q244" s="431"/>
      <c r="R244" s="432"/>
      <c r="T244" s="146" t="str">
        <f t="shared" ca="1" si="41"/>
        <v/>
      </c>
      <c r="U244" s="206" t="str">
        <f t="shared" ca="1" si="42"/>
        <v/>
      </c>
      <c r="V244" s="207" t="str">
        <f t="shared" ca="1" si="43"/>
        <v/>
      </c>
      <c r="W244" s="595">
        <f ca="1">IF($Y244&gt;0,CHOOSE(MATCH(RegimeExecucao,{"Unitário","Global"},0),IF($A244="S",$Y244/$X244,""),($Y244/$X244)*100),0)</f>
        <v>0</v>
      </c>
      <c r="X244" s="433" t="str">
        <f ca="1">IF($Y244&gt;0,CHOOSE(MATCH(RegimeExecucao,{"Unitário","Global"},0),IF($A244="S",ROUND($H244,ORÇAMENTO!$AF$10),""),ROUND($I244,ORÇAMENTO!$AF$11)),"")</f>
        <v/>
      </c>
      <c r="Y244" s="433">
        <f t="shared" ca="1" si="44"/>
        <v>0</v>
      </c>
      <c r="Z244" s="434"/>
      <c r="AB244" s="431"/>
      <c r="AC244" s="569"/>
      <c r="AD244" s="569"/>
      <c r="AE244" s="569"/>
      <c r="AF244" s="569"/>
      <c r="AG244" s="569"/>
      <c r="AH244" s="569"/>
      <c r="AI244" s="569"/>
      <c r="AJ244" s="569"/>
      <c r="AK244" s="569"/>
      <c r="AL244" s="569"/>
      <c r="AM244" s="432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3" t="str">
        <f t="shared" ca="1" si="34"/>
        <v/>
      </c>
      <c r="D245" s="146" t="str">
        <f ca="1">ORÇAMENTO!O245</f>
        <v>-</v>
      </c>
      <c r="E245" s="206" t="str">
        <f t="shared" ca="1" si="35"/>
        <v>(abra o arquivo 'Referência 05-2023.xls)</v>
      </c>
      <c r="F245" s="207" t="str">
        <f t="shared" ca="1" si="36"/>
        <v>-</v>
      </c>
      <c r="G245" s="151">
        <f ca="1">IF(RegimeExecucao="Global","",ORÇAMENTO!T245)</f>
        <v>0</v>
      </c>
      <c r="H245" s="151">
        <f ca="1">IF(RegimeExecucao="Global","",ORÇAMENTO!W245)</f>
        <v>0</v>
      </c>
      <c r="I245" s="154">
        <f ca="1">ORÇAMENTO!X245</f>
        <v>0</v>
      </c>
      <c r="J245" s="427">
        <f t="shared" ca="1" si="37"/>
        <v>0</v>
      </c>
      <c r="K245" s="151">
        <f t="shared" ca="1" si="38"/>
        <v>0</v>
      </c>
      <c r="L245" s="428">
        <f t="shared" ca="1" si="39"/>
        <v>0</v>
      </c>
      <c r="M245" s="429">
        <f ca="1">IF($A245="S",VTOTALBM,IF($A245=0,0,ROUND(SomaAgrupBM,15-13*ORÇAMENTO!$AF$11)))</f>
        <v>0</v>
      </c>
      <c r="N245" s="430">
        <f t="shared" ca="1" si="40"/>
        <v>0</v>
      </c>
      <c r="O245" s="154">
        <f ca="1">IF($A245="S",VTOTALBM,IF($A245=0,0,ROUND(SomaAgrupBM,15-13*ORÇAMENTO!$AF$11)))</f>
        <v>0</v>
      </c>
      <c r="Q245" s="431"/>
      <c r="R245" s="432"/>
      <c r="T245" s="146" t="str">
        <f t="shared" ca="1" si="41"/>
        <v/>
      </c>
      <c r="U245" s="206" t="str">
        <f t="shared" ca="1" si="42"/>
        <v/>
      </c>
      <c r="V245" s="207" t="str">
        <f t="shared" ca="1" si="43"/>
        <v/>
      </c>
      <c r="W245" s="595">
        <f ca="1">IF($Y245&gt;0,CHOOSE(MATCH(RegimeExecucao,{"Unitário","Global"},0),IF($A245="S",$Y245/$X245,""),($Y245/$X245)*100),0)</f>
        <v>0</v>
      </c>
      <c r="X245" s="433" t="str">
        <f ca="1">IF($Y245&gt;0,CHOOSE(MATCH(RegimeExecucao,{"Unitário","Global"},0),IF($A245="S",ROUND($H245,ORÇAMENTO!$AF$10),""),ROUND($I245,ORÇAMENTO!$AF$11)),"")</f>
        <v/>
      </c>
      <c r="Y245" s="433">
        <f t="shared" ca="1" si="44"/>
        <v>0</v>
      </c>
      <c r="Z245" s="434"/>
      <c r="AB245" s="431"/>
      <c r="AC245" s="569"/>
      <c r="AD245" s="569"/>
      <c r="AE245" s="569"/>
      <c r="AF245" s="569"/>
      <c r="AG245" s="569"/>
      <c r="AH245" s="569"/>
      <c r="AI245" s="569"/>
      <c r="AJ245" s="569"/>
      <c r="AK245" s="569"/>
      <c r="AL245" s="569"/>
      <c r="AM245" s="432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3" t="str">
        <f t="shared" ca="1" si="34"/>
        <v/>
      </c>
      <c r="D246" s="146" t="str">
        <f ca="1">ORÇAMENTO!O246</f>
        <v>-</v>
      </c>
      <c r="E246" s="206" t="str">
        <f t="shared" ca="1" si="35"/>
        <v>(abra o arquivo 'Referência 05-2023.xls)</v>
      </c>
      <c r="F246" s="207" t="str">
        <f t="shared" ca="1" si="36"/>
        <v>-</v>
      </c>
      <c r="G246" s="151">
        <f ca="1">IF(RegimeExecucao="Global","",ORÇAMENTO!T246)</f>
        <v>0</v>
      </c>
      <c r="H246" s="151">
        <f ca="1">IF(RegimeExecucao="Global","",ORÇAMENTO!W246)</f>
        <v>0</v>
      </c>
      <c r="I246" s="154">
        <f ca="1">ORÇAMENTO!X246</f>
        <v>0</v>
      </c>
      <c r="J246" s="427">
        <f t="shared" ca="1" si="37"/>
        <v>0</v>
      </c>
      <c r="K246" s="151">
        <f t="shared" ca="1" si="38"/>
        <v>0</v>
      </c>
      <c r="L246" s="428">
        <f t="shared" ca="1" si="39"/>
        <v>0</v>
      </c>
      <c r="M246" s="429">
        <f ca="1">IF($A246="S",VTOTALBM,IF($A246=0,0,ROUND(SomaAgrupBM,15-13*ORÇAMENTO!$AF$11)))</f>
        <v>0</v>
      </c>
      <c r="N246" s="430">
        <f t="shared" ca="1" si="40"/>
        <v>0</v>
      </c>
      <c r="O246" s="154">
        <f ca="1">IF($A246="S",VTOTALBM,IF($A246=0,0,ROUND(SomaAgrupBM,15-13*ORÇAMENTO!$AF$11)))</f>
        <v>0</v>
      </c>
      <c r="Q246" s="431"/>
      <c r="R246" s="432"/>
      <c r="T246" s="146" t="str">
        <f t="shared" ca="1" si="41"/>
        <v/>
      </c>
      <c r="U246" s="206" t="str">
        <f t="shared" ca="1" si="42"/>
        <v/>
      </c>
      <c r="V246" s="207" t="str">
        <f t="shared" ca="1" si="43"/>
        <v/>
      </c>
      <c r="W246" s="595">
        <f ca="1">IF($Y246&gt;0,CHOOSE(MATCH(RegimeExecucao,{"Unitário","Global"},0),IF($A246="S",$Y246/$X246,""),($Y246/$X246)*100),0)</f>
        <v>0</v>
      </c>
      <c r="X246" s="433" t="str">
        <f ca="1">IF($Y246&gt;0,CHOOSE(MATCH(RegimeExecucao,{"Unitário","Global"},0),IF($A246="S",ROUND($H246,ORÇAMENTO!$AF$10),""),ROUND($I246,ORÇAMENTO!$AF$11)),"")</f>
        <v/>
      </c>
      <c r="Y246" s="433">
        <f t="shared" ca="1" si="44"/>
        <v>0</v>
      </c>
      <c r="Z246" s="434"/>
      <c r="AB246" s="431"/>
      <c r="AC246" s="569"/>
      <c r="AD246" s="569"/>
      <c r="AE246" s="569"/>
      <c r="AF246" s="569"/>
      <c r="AG246" s="569"/>
      <c r="AH246" s="569"/>
      <c r="AI246" s="569"/>
      <c r="AJ246" s="569"/>
      <c r="AK246" s="569"/>
      <c r="AL246" s="569"/>
      <c r="AM246" s="432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3" t="str">
        <f t="shared" ca="1" si="34"/>
        <v/>
      </c>
      <c r="D247" s="146" t="str">
        <f ca="1">ORÇAMENTO!O247</f>
        <v>-</v>
      </c>
      <c r="E247" s="206" t="str">
        <f t="shared" ca="1" si="35"/>
        <v>(abra o arquivo 'Referência 05-2023.xls)</v>
      </c>
      <c r="F247" s="207" t="str">
        <f t="shared" ca="1" si="36"/>
        <v>-</v>
      </c>
      <c r="G247" s="151">
        <f ca="1">IF(RegimeExecucao="Global","",ORÇAMENTO!T247)</f>
        <v>0</v>
      </c>
      <c r="H247" s="151">
        <f ca="1">IF(RegimeExecucao="Global","",ORÇAMENTO!W247)</f>
        <v>0</v>
      </c>
      <c r="I247" s="154">
        <f ca="1">ORÇAMENTO!X247</f>
        <v>0</v>
      </c>
      <c r="J247" s="427">
        <f t="shared" ca="1" si="37"/>
        <v>0</v>
      </c>
      <c r="K247" s="151">
        <f t="shared" ca="1" si="38"/>
        <v>0</v>
      </c>
      <c r="L247" s="428">
        <f t="shared" ca="1" si="39"/>
        <v>0</v>
      </c>
      <c r="M247" s="429">
        <f ca="1">IF($A247="S",VTOTALBM,IF($A247=0,0,ROUND(SomaAgrupBM,15-13*ORÇAMENTO!$AF$11)))</f>
        <v>0</v>
      </c>
      <c r="N247" s="430">
        <f t="shared" ca="1" si="40"/>
        <v>0</v>
      </c>
      <c r="O247" s="154">
        <f ca="1">IF($A247="S",VTOTALBM,IF($A247=0,0,ROUND(SomaAgrupBM,15-13*ORÇAMENTO!$AF$11)))</f>
        <v>0</v>
      </c>
      <c r="Q247" s="431"/>
      <c r="R247" s="432"/>
      <c r="T247" s="146" t="str">
        <f t="shared" ca="1" si="41"/>
        <v/>
      </c>
      <c r="U247" s="206" t="str">
        <f t="shared" ca="1" si="42"/>
        <v/>
      </c>
      <c r="V247" s="207" t="str">
        <f t="shared" ca="1" si="43"/>
        <v/>
      </c>
      <c r="W247" s="595">
        <f ca="1">IF($Y247&gt;0,CHOOSE(MATCH(RegimeExecucao,{"Unitário","Global"},0),IF($A247="S",$Y247/$X247,""),($Y247/$X247)*100),0)</f>
        <v>0</v>
      </c>
      <c r="X247" s="433" t="str">
        <f ca="1">IF($Y247&gt;0,CHOOSE(MATCH(RegimeExecucao,{"Unitário","Global"},0),IF($A247="S",ROUND($H247,ORÇAMENTO!$AF$10),""),ROUND($I247,ORÇAMENTO!$AF$11)),"")</f>
        <v/>
      </c>
      <c r="Y247" s="433">
        <f t="shared" ca="1" si="44"/>
        <v>0</v>
      </c>
      <c r="Z247" s="434"/>
      <c r="AB247" s="431"/>
      <c r="AC247" s="569"/>
      <c r="AD247" s="569"/>
      <c r="AE247" s="569"/>
      <c r="AF247" s="569"/>
      <c r="AG247" s="569"/>
      <c r="AH247" s="569"/>
      <c r="AI247" s="569"/>
      <c r="AJ247" s="569"/>
      <c r="AK247" s="569"/>
      <c r="AL247" s="569"/>
      <c r="AM247" s="432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3" t="str">
        <f t="shared" ca="1" si="34"/>
        <v/>
      </c>
      <c r="D248" s="146" t="str">
        <f ca="1">ORÇAMENTO!O248</f>
        <v>-</v>
      </c>
      <c r="E248" s="206" t="str">
        <f t="shared" ca="1" si="35"/>
        <v>(abra o arquivo 'Referência 05-2023.xls)</v>
      </c>
      <c r="F248" s="207" t="str">
        <f t="shared" ca="1" si="36"/>
        <v>-</v>
      </c>
      <c r="G248" s="151">
        <f ca="1">IF(RegimeExecucao="Global","",ORÇAMENTO!T248)</f>
        <v>0</v>
      </c>
      <c r="H248" s="151">
        <f ca="1">IF(RegimeExecucao="Global","",ORÇAMENTO!W248)</f>
        <v>0</v>
      </c>
      <c r="I248" s="154">
        <f ca="1">ORÇAMENTO!X248</f>
        <v>0</v>
      </c>
      <c r="J248" s="427">
        <f t="shared" ca="1" si="37"/>
        <v>0</v>
      </c>
      <c r="K248" s="151">
        <f t="shared" ca="1" si="38"/>
        <v>0</v>
      </c>
      <c r="L248" s="428">
        <f t="shared" ca="1" si="39"/>
        <v>0</v>
      </c>
      <c r="M248" s="429">
        <f ca="1">IF($A248="S",VTOTALBM,IF($A248=0,0,ROUND(SomaAgrupBM,15-13*ORÇAMENTO!$AF$11)))</f>
        <v>0</v>
      </c>
      <c r="N248" s="430">
        <f t="shared" ca="1" si="40"/>
        <v>0</v>
      </c>
      <c r="O248" s="154">
        <f ca="1">IF($A248="S",VTOTALBM,IF($A248=0,0,ROUND(SomaAgrupBM,15-13*ORÇAMENTO!$AF$11)))</f>
        <v>0</v>
      </c>
      <c r="Q248" s="431"/>
      <c r="R248" s="432"/>
      <c r="T248" s="146" t="str">
        <f t="shared" ca="1" si="41"/>
        <v/>
      </c>
      <c r="U248" s="206" t="str">
        <f t="shared" ca="1" si="42"/>
        <v/>
      </c>
      <c r="V248" s="207" t="str">
        <f t="shared" ca="1" si="43"/>
        <v/>
      </c>
      <c r="W248" s="595">
        <f ca="1">IF($Y248&gt;0,CHOOSE(MATCH(RegimeExecucao,{"Unitário","Global"},0),IF($A248="S",$Y248/$X248,""),($Y248/$X248)*100),0)</f>
        <v>0</v>
      </c>
      <c r="X248" s="433" t="str">
        <f ca="1">IF($Y248&gt;0,CHOOSE(MATCH(RegimeExecucao,{"Unitário","Global"},0),IF($A248="S",ROUND($H248,ORÇAMENTO!$AF$10),""),ROUND($I248,ORÇAMENTO!$AF$11)),"")</f>
        <v/>
      </c>
      <c r="Y248" s="433">
        <f t="shared" ca="1" si="44"/>
        <v>0</v>
      </c>
      <c r="Z248" s="434"/>
      <c r="AB248" s="431"/>
      <c r="AC248" s="569"/>
      <c r="AD248" s="569"/>
      <c r="AE248" s="569"/>
      <c r="AF248" s="569"/>
      <c r="AG248" s="569"/>
      <c r="AH248" s="569"/>
      <c r="AI248" s="569"/>
      <c r="AJ248" s="569"/>
      <c r="AK248" s="569"/>
      <c r="AL248" s="569"/>
      <c r="AM248" s="432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3" t="str">
        <f t="shared" ca="1" si="34"/>
        <v/>
      </c>
      <c r="D249" s="146" t="str">
        <f ca="1">ORÇAMENTO!O249</f>
        <v>-</v>
      </c>
      <c r="E249" s="206" t="str">
        <f t="shared" ca="1" si="35"/>
        <v>(abra o arquivo 'Referência 05-2023.xls)</v>
      </c>
      <c r="F249" s="207" t="str">
        <f t="shared" ca="1" si="36"/>
        <v>-</v>
      </c>
      <c r="G249" s="151">
        <f ca="1">IF(RegimeExecucao="Global","",ORÇAMENTO!T249)</f>
        <v>0</v>
      </c>
      <c r="H249" s="151">
        <f ca="1">IF(RegimeExecucao="Global","",ORÇAMENTO!W249)</f>
        <v>0</v>
      </c>
      <c r="I249" s="154">
        <f ca="1">ORÇAMENTO!X249</f>
        <v>0</v>
      </c>
      <c r="J249" s="427">
        <f t="shared" ca="1" si="37"/>
        <v>0</v>
      </c>
      <c r="K249" s="151">
        <f t="shared" ca="1" si="38"/>
        <v>0</v>
      </c>
      <c r="L249" s="428">
        <f t="shared" ca="1" si="39"/>
        <v>0</v>
      </c>
      <c r="M249" s="429">
        <f ca="1">IF($A249="S",VTOTALBM,IF($A249=0,0,ROUND(SomaAgrupBM,15-13*ORÇAMENTO!$AF$11)))</f>
        <v>0</v>
      </c>
      <c r="N249" s="430">
        <f t="shared" ca="1" si="40"/>
        <v>0</v>
      </c>
      <c r="O249" s="154">
        <f ca="1">IF($A249="S",VTOTALBM,IF($A249=0,0,ROUND(SomaAgrupBM,15-13*ORÇAMENTO!$AF$11)))</f>
        <v>0</v>
      </c>
      <c r="Q249" s="431"/>
      <c r="R249" s="432"/>
      <c r="T249" s="146" t="str">
        <f t="shared" ca="1" si="41"/>
        <v/>
      </c>
      <c r="U249" s="206" t="str">
        <f t="shared" ca="1" si="42"/>
        <v/>
      </c>
      <c r="V249" s="207" t="str">
        <f t="shared" ca="1" si="43"/>
        <v/>
      </c>
      <c r="W249" s="595">
        <f ca="1">IF($Y249&gt;0,CHOOSE(MATCH(RegimeExecucao,{"Unitário","Global"},0),IF($A249="S",$Y249/$X249,""),($Y249/$X249)*100),0)</f>
        <v>0</v>
      </c>
      <c r="X249" s="433" t="str">
        <f ca="1">IF($Y249&gt;0,CHOOSE(MATCH(RegimeExecucao,{"Unitário","Global"},0),IF($A249="S",ROUND($H249,ORÇAMENTO!$AF$10),""),ROUND($I249,ORÇAMENTO!$AF$11)),"")</f>
        <v/>
      </c>
      <c r="Y249" s="433">
        <f t="shared" ca="1" si="44"/>
        <v>0</v>
      </c>
      <c r="Z249" s="434"/>
      <c r="AB249" s="431"/>
      <c r="AC249" s="569"/>
      <c r="AD249" s="569"/>
      <c r="AE249" s="569"/>
      <c r="AF249" s="569"/>
      <c r="AG249" s="569"/>
      <c r="AH249" s="569"/>
      <c r="AI249" s="569"/>
      <c r="AJ249" s="569"/>
      <c r="AK249" s="569"/>
      <c r="AL249" s="569"/>
      <c r="AM249" s="432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3" t="str">
        <f t="shared" ca="1" si="34"/>
        <v/>
      </c>
      <c r="D250" s="146" t="str">
        <f ca="1">ORÇAMENTO!O250</f>
        <v>-</v>
      </c>
      <c r="E250" s="206" t="str">
        <f t="shared" ca="1" si="35"/>
        <v>(abra o arquivo 'Referência 05-2023.xls)</v>
      </c>
      <c r="F250" s="207" t="str">
        <f t="shared" ca="1" si="36"/>
        <v>-</v>
      </c>
      <c r="G250" s="151">
        <f ca="1">IF(RegimeExecucao="Global","",ORÇAMENTO!T250)</f>
        <v>0</v>
      </c>
      <c r="H250" s="151">
        <f ca="1">IF(RegimeExecucao="Global","",ORÇAMENTO!W250)</f>
        <v>0</v>
      </c>
      <c r="I250" s="154">
        <f ca="1">ORÇAMENTO!X250</f>
        <v>0</v>
      </c>
      <c r="J250" s="427">
        <f t="shared" ca="1" si="37"/>
        <v>0</v>
      </c>
      <c r="K250" s="151">
        <f t="shared" ca="1" si="38"/>
        <v>0</v>
      </c>
      <c r="L250" s="428">
        <f t="shared" ca="1" si="39"/>
        <v>0</v>
      </c>
      <c r="M250" s="429">
        <f ca="1">IF($A250="S",VTOTALBM,IF($A250=0,0,ROUND(SomaAgrupBM,15-13*ORÇAMENTO!$AF$11)))</f>
        <v>0</v>
      </c>
      <c r="N250" s="430">
        <f t="shared" ca="1" si="40"/>
        <v>0</v>
      </c>
      <c r="O250" s="154">
        <f ca="1">IF($A250="S",VTOTALBM,IF($A250=0,0,ROUND(SomaAgrupBM,15-13*ORÇAMENTO!$AF$11)))</f>
        <v>0</v>
      </c>
      <c r="Q250" s="431"/>
      <c r="R250" s="432"/>
      <c r="T250" s="146" t="str">
        <f t="shared" ca="1" si="41"/>
        <v/>
      </c>
      <c r="U250" s="206" t="str">
        <f t="shared" ca="1" si="42"/>
        <v/>
      </c>
      <c r="V250" s="207" t="str">
        <f t="shared" ca="1" si="43"/>
        <v/>
      </c>
      <c r="W250" s="595">
        <f ca="1">IF($Y250&gt;0,CHOOSE(MATCH(RegimeExecucao,{"Unitário","Global"},0),IF($A250="S",$Y250/$X250,""),($Y250/$X250)*100),0)</f>
        <v>0</v>
      </c>
      <c r="X250" s="433" t="str">
        <f ca="1">IF($Y250&gt;0,CHOOSE(MATCH(RegimeExecucao,{"Unitário","Global"},0),IF($A250="S",ROUND($H250,ORÇAMENTO!$AF$10),""),ROUND($I250,ORÇAMENTO!$AF$11)),"")</f>
        <v/>
      </c>
      <c r="Y250" s="433">
        <f t="shared" ca="1" si="44"/>
        <v>0</v>
      </c>
      <c r="Z250" s="434"/>
      <c r="AB250" s="431"/>
      <c r="AC250" s="569"/>
      <c r="AD250" s="569"/>
      <c r="AE250" s="569"/>
      <c r="AF250" s="569"/>
      <c r="AG250" s="569"/>
      <c r="AH250" s="569"/>
      <c r="AI250" s="569"/>
      <c r="AJ250" s="569"/>
      <c r="AK250" s="569"/>
      <c r="AL250" s="569"/>
      <c r="AM250" s="432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3" t="str">
        <f t="shared" ca="1" si="34"/>
        <v/>
      </c>
      <c r="D251" s="146" t="str">
        <f ca="1">ORÇAMENTO!O251</f>
        <v>-</v>
      </c>
      <c r="E251" s="206" t="str">
        <f t="shared" ca="1" si="35"/>
        <v>(abra o arquivo 'Referência 05-2023.xls)</v>
      </c>
      <c r="F251" s="207" t="str">
        <f t="shared" ca="1" si="36"/>
        <v>-</v>
      </c>
      <c r="G251" s="151">
        <f ca="1">IF(RegimeExecucao="Global","",ORÇAMENTO!T251)</f>
        <v>0</v>
      </c>
      <c r="H251" s="151">
        <f ca="1">IF(RegimeExecucao="Global","",ORÇAMENTO!W251)</f>
        <v>0</v>
      </c>
      <c r="I251" s="154">
        <f ca="1">ORÇAMENTO!X251</f>
        <v>0</v>
      </c>
      <c r="J251" s="427">
        <f t="shared" ca="1" si="37"/>
        <v>0</v>
      </c>
      <c r="K251" s="151">
        <f t="shared" ca="1" si="38"/>
        <v>0</v>
      </c>
      <c r="L251" s="428">
        <f t="shared" ca="1" si="39"/>
        <v>0</v>
      </c>
      <c r="M251" s="429">
        <f ca="1">IF($A251="S",VTOTALBM,IF($A251=0,0,ROUND(SomaAgrupBM,15-13*ORÇAMENTO!$AF$11)))</f>
        <v>0</v>
      </c>
      <c r="N251" s="430">
        <f t="shared" ca="1" si="40"/>
        <v>0</v>
      </c>
      <c r="O251" s="154">
        <f ca="1">IF($A251="S",VTOTALBM,IF($A251=0,0,ROUND(SomaAgrupBM,15-13*ORÇAMENTO!$AF$11)))</f>
        <v>0</v>
      </c>
      <c r="Q251" s="431"/>
      <c r="R251" s="432"/>
      <c r="T251" s="146" t="str">
        <f t="shared" ca="1" si="41"/>
        <v/>
      </c>
      <c r="U251" s="206" t="str">
        <f t="shared" ca="1" si="42"/>
        <v/>
      </c>
      <c r="V251" s="207" t="str">
        <f t="shared" ca="1" si="43"/>
        <v/>
      </c>
      <c r="W251" s="595">
        <f ca="1">IF($Y251&gt;0,CHOOSE(MATCH(RegimeExecucao,{"Unitário","Global"},0),IF($A251="S",$Y251/$X251,""),($Y251/$X251)*100),0)</f>
        <v>0</v>
      </c>
      <c r="X251" s="433" t="str">
        <f ca="1">IF($Y251&gt;0,CHOOSE(MATCH(RegimeExecucao,{"Unitário","Global"},0),IF($A251="S",ROUND($H251,ORÇAMENTO!$AF$10),""),ROUND($I251,ORÇAMENTO!$AF$11)),"")</f>
        <v/>
      </c>
      <c r="Y251" s="433">
        <f t="shared" ca="1" si="44"/>
        <v>0</v>
      </c>
      <c r="Z251" s="434"/>
      <c r="AB251" s="431"/>
      <c r="AC251" s="569"/>
      <c r="AD251" s="569"/>
      <c r="AE251" s="569"/>
      <c r="AF251" s="569"/>
      <c r="AG251" s="569"/>
      <c r="AH251" s="569"/>
      <c r="AI251" s="569"/>
      <c r="AJ251" s="569"/>
      <c r="AK251" s="569"/>
      <c r="AL251" s="569"/>
      <c r="AM251" s="432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3" t="str">
        <f t="shared" ca="1" si="34"/>
        <v/>
      </c>
      <c r="D252" s="146" t="str">
        <f ca="1">ORÇAMENTO!O252</f>
        <v>-</v>
      </c>
      <c r="E252" s="206" t="str">
        <f t="shared" ca="1" si="35"/>
        <v>(abra o arquivo 'Referência 05-2023.xls)</v>
      </c>
      <c r="F252" s="207" t="str">
        <f t="shared" ca="1" si="36"/>
        <v>-</v>
      </c>
      <c r="G252" s="151">
        <f ca="1">IF(RegimeExecucao="Global","",ORÇAMENTO!T252)</f>
        <v>0</v>
      </c>
      <c r="H252" s="151">
        <f ca="1">IF(RegimeExecucao="Global","",ORÇAMENTO!W252)</f>
        <v>0</v>
      </c>
      <c r="I252" s="154">
        <f ca="1">ORÇAMENTO!X252</f>
        <v>0</v>
      </c>
      <c r="J252" s="427">
        <f t="shared" ca="1" si="37"/>
        <v>0</v>
      </c>
      <c r="K252" s="151">
        <f t="shared" ca="1" si="38"/>
        <v>0</v>
      </c>
      <c r="L252" s="428">
        <f t="shared" ca="1" si="39"/>
        <v>0</v>
      </c>
      <c r="M252" s="429">
        <f ca="1">IF($A252="S",VTOTALBM,IF($A252=0,0,ROUND(SomaAgrupBM,15-13*ORÇAMENTO!$AF$11)))</f>
        <v>0</v>
      </c>
      <c r="N252" s="430">
        <f t="shared" ca="1" si="40"/>
        <v>0</v>
      </c>
      <c r="O252" s="154">
        <f ca="1">IF($A252="S",VTOTALBM,IF($A252=0,0,ROUND(SomaAgrupBM,15-13*ORÇAMENTO!$AF$11)))</f>
        <v>0</v>
      </c>
      <c r="Q252" s="431"/>
      <c r="R252" s="432"/>
      <c r="T252" s="146" t="str">
        <f t="shared" ca="1" si="41"/>
        <v/>
      </c>
      <c r="U252" s="206" t="str">
        <f t="shared" ca="1" si="42"/>
        <v/>
      </c>
      <c r="V252" s="207" t="str">
        <f t="shared" ca="1" si="43"/>
        <v/>
      </c>
      <c r="W252" s="595">
        <f ca="1">IF($Y252&gt;0,CHOOSE(MATCH(RegimeExecucao,{"Unitário","Global"},0),IF($A252="S",$Y252/$X252,""),($Y252/$X252)*100),0)</f>
        <v>0</v>
      </c>
      <c r="X252" s="433" t="str">
        <f ca="1">IF($Y252&gt;0,CHOOSE(MATCH(RegimeExecucao,{"Unitário","Global"},0),IF($A252="S",ROUND($H252,ORÇAMENTO!$AF$10),""),ROUND($I252,ORÇAMENTO!$AF$11)),"")</f>
        <v/>
      </c>
      <c r="Y252" s="433">
        <f t="shared" ca="1" si="44"/>
        <v>0</v>
      </c>
      <c r="Z252" s="434"/>
      <c r="AB252" s="431"/>
      <c r="AC252" s="569"/>
      <c r="AD252" s="569"/>
      <c r="AE252" s="569"/>
      <c r="AF252" s="569"/>
      <c r="AG252" s="569"/>
      <c r="AH252" s="569"/>
      <c r="AI252" s="569"/>
      <c r="AJ252" s="569"/>
      <c r="AK252" s="569"/>
      <c r="AL252" s="569"/>
      <c r="AM252" s="432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3" t="str">
        <f t="shared" ca="1" si="34"/>
        <v/>
      </c>
      <c r="D253" s="146" t="str">
        <f ca="1">ORÇAMENTO!O253</f>
        <v>-</v>
      </c>
      <c r="E253" s="206" t="str">
        <f t="shared" ca="1" si="35"/>
        <v>(abra o arquivo 'Referência 05-2023.xls)</v>
      </c>
      <c r="F253" s="207" t="str">
        <f t="shared" ca="1" si="36"/>
        <v>-</v>
      </c>
      <c r="G253" s="151">
        <f ca="1">IF(RegimeExecucao="Global","",ORÇAMENTO!T253)</f>
        <v>0</v>
      </c>
      <c r="H253" s="151">
        <f ca="1">IF(RegimeExecucao="Global","",ORÇAMENTO!W253)</f>
        <v>0</v>
      </c>
      <c r="I253" s="154">
        <f ca="1">ORÇAMENTO!X253</f>
        <v>0</v>
      </c>
      <c r="J253" s="427">
        <f t="shared" ca="1" si="37"/>
        <v>0</v>
      </c>
      <c r="K253" s="151">
        <f t="shared" ca="1" si="38"/>
        <v>0</v>
      </c>
      <c r="L253" s="428">
        <f t="shared" ca="1" si="39"/>
        <v>0</v>
      </c>
      <c r="M253" s="429">
        <f ca="1">IF($A253="S",VTOTALBM,IF($A253=0,0,ROUND(SomaAgrupBM,15-13*ORÇAMENTO!$AF$11)))</f>
        <v>0</v>
      </c>
      <c r="N253" s="430">
        <f t="shared" ca="1" si="40"/>
        <v>0</v>
      </c>
      <c r="O253" s="154">
        <f ca="1">IF($A253="S",VTOTALBM,IF($A253=0,0,ROUND(SomaAgrupBM,15-13*ORÇAMENTO!$AF$11)))</f>
        <v>0</v>
      </c>
      <c r="Q253" s="431"/>
      <c r="R253" s="432"/>
      <c r="T253" s="146" t="str">
        <f t="shared" ca="1" si="41"/>
        <v/>
      </c>
      <c r="U253" s="206" t="str">
        <f t="shared" ca="1" si="42"/>
        <v/>
      </c>
      <c r="V253" s="207" t="str">
        <f t="shared" ca="1" si="43"/>
        <v/>
      </c>
      <c r="W253" s="595">
        <f ca="1">IF($Y253&gt;0,CHOOSE(MATCH(RegimeExecucao,{"Unitário","Global"},0),IF($A253="S",$Y253/$X253,""),($Y253/$X253)*100),0)</f>
        <v>0</v>
      </c>
      <c r="X253" s="433" t="str">
        <f ca="1">IF($Y253&gt;0,CHOOSE(MATCH(RegimeExecucao,{"Unitário","Global"},0),IF($A253="S",ROUND($H253,ORÇAMENTO!$AF$10),""),ROUND($I253,ORÇAMENTO!$AF$11)),"")</f>
        <v/>
      </c>
      <c r="Y253" s="433">
        <f t="shared" ca="1" si="44"/>
        <v>0</v>
      </c>
      <c r="Z253" s="434"/>
      <c r="AB253" s="431"/>
      <c r="AC253" s="569"/>
      <c r="AD253" s="569"/>
      <c r="AE253" s="569"/>
      <c r="AF253" s="569"/>
      <c r="AG253" s="569"/>
      <c r="AH253" s="569"/>
      <c r="AI253" s="569"/>
      <c r="AJ253" s="569"/>
      <c r="AK253" s="569"/>
      <c r="AL253" s="569"/>
      <c r="AM253" s="432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3" t="str">
        <f t="shared" ca="1" si="34"/>
        <v/>
      </c>
      <c r="D254" s="146" t="str">
        <f ca="1">ORÇAMENTO!O254</f>
        <v>-</v>
      </c>
      <c r="E254" s="206" t="str">
        <f t="shared" ca="1" si="35"/>
        <v>(abra o arquivo 'Referência 05-2023.xls)</v>
      </c>
      <c r="F254" s="207" t="str">
        <f t="shared" ca="1" si="36"/>
        <v>-</v>
      </c>
      <c r="G254" s="151">
        <f ca="1">IF(RegimeExecucao="Global","",ORÇAMENTO!T254)</f>
        <v>0</v>
      </c>
      <c r="H254" s="151">
        <f ca="1">IF(RegimeExecucao="Global","",ORÇAMENTO!W254)</f>
        <v>0</v>
      </c>
      <c r="I254" s="154">
        <f ca="1">ORÇAMENTO!X254</f>
        <v>0</v>
      </c>
      <c r="J254" s="427">
        <f t="shared" ca="1" si="37"/>
        <v>0</v>
      </c>
      <c r="K254" s="151">
        <f t="shared" ca="1" si="38"/>
        <v>0</v>
      </c>
      <c r="L254" s="428">
        <f t="shared" ca="1" si="39"/>
        <v>0</v>
      </c>
      <c r="M254" s="429">
        <f ca="1">IF($A254="S",VTOTALBM,IF($A254=0,0,ROUND(SomaAgrupBM,15-13*ORÇAMENTO!$AF$11)))</f>
        <v>0</v>
      </c>
      <c r="N254" s="430">
        <f t="shared" ca="1" si="40"/>
        <v>0</v>
      </c>
      <c r="O254" s="154">
        <f ca="1">IF($A254="S",VTOTALBM,IF($A254=0,0,ROUND(SomaAgrupBM,15-13*ORÇAMENTO!$AF$11)))</f>
        <v>0</v>
      </c>
      <c r="Q254" s="431"/>
      <c r="R254" s="432"/>
      <c r="T254" s="146" t="str">
        <f t="shared" ca="1" si="41"/>
        <v/>
      </c>
      <c r="U254" s="206" t="str">
        <f t="shared" ca="1" si="42"/>
        <v/>
      </c>
      <c r="V254" s="207" t="str">
        <f t="shared" ca="1" si="43"/>
        <v/>
      </c>
      <c r="W254" s="595">
        <f ca="1">IF($Y254&gt;0,CHOOSE(MATCH(RegimeExecucao,{"Unitário","Global"},0),IF($A254="S",$Y254/$X254,""),($Y254/$X254)*100),0)</f>
        <v>0</v>
      </c>
      <c r="X254" s="433" t="str">
        <f ca="1">IF($Y254&gt;0,CHOOSE(MATCH(RegimeExecucao,{"Unitário","Global"},0),IF($A254="S",ROUND($H254,ORÇAMENTO!$AF$10),""),ROUND($I254,ORÇAMENTO!$AF$11)),"")</f>
        <v/>
      </c>
      <c r="Y254" s="433">
        <f t="shared" ca="1" si="44"/>
        <v>0</v>
      </c>
      <c r="Z254" s="434"/>
      <c r="AB254" s="431"/>
      <c r="AC254" s="569"/>
      <c r="AD254" s="569"/>
      <c r="AE254" s="569"/>
      <c r="AF254" s="569"/>
      <c r="AG254" s="569"/>
      <c r="AH254" s="569"/>
      <c r="AI254" s="569"/>
      <c r="AJ254" s="569"/>
      <c r="AK254" s="569"/>
      <c r="AL254" s="569"/>
      <c r="AM254" s="432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3" t="str">
        <f t="shared" ca="1" si="34"/>
        <v/>
      </c>
      <c r="D255" s="146" t="str">
        <f ca="1">ORÇAMENTO!O255</f>
        <v>-</v>
      </c>
      <c r="E255" s="206" t="str">
        <f t="shared" ca="1" si="35"/>
        <v>(abra o arquivo 'Referência 05-2023.xls)</v>
      </c>
      <c r="F255" s="207" t="str">
        <f t="shared" ca="1" si="36"/>
        <v>-</v>
      </c>
      <c r="G255" s="151">
        <f ca="1">IF(RegimeExecucao="Global","",ORÇAMENTO!T255)</f>
        <v>0</v>
      </c>
      <c r="H255" s="151">
        <f ca="1">IF(RegimeExecucao="Global","",ORÇAMENTO!W255)</f>
        <v>0</v>
      </c>
      <c r="I255" s="154">
        <f ca="1">ORÇAMENTO!X255</f>
        <v>0</v>
      </c>
      <c r="J255" s="427">
        <f t="shared" ca="1" si="37"/>
        <v>0</v>
      </c>
      <c r="K255" s="151">
        <f t="shared" ca="1" si="38"/>
        <v>0</v>
      </c>
      <c r="L255" s="428">
        <f t="shared" ca="1" si="39"/>
        <v>0</v>
      </c>
      <c r="M255" s="429">
        <f ca="1">IF($A255="S",VTOTALBM,IF($A255=0,0,ROUND(SomaAgrupBM,15-13*ORÇAMENTO!$AF$11)))</f>
        <v>0</v>
      </c>
      <c r="N255" s="430">
        <f t="shared" ca="1" si="40"/>
        <v>0</v>
      </c>
      <c r="O255" s="154">
        <f ca="1">IF($A255="S",VTOTALBM,IF($A255=0,0,ROUND(SomaAgrupBM,15-13*ORÇAMENTO!$AF$11)))</f>
        <v>0</v>
      </c>
      <c r="Q255" s="431"/>
      <c r="R255" s="432"/>
      <c r="T255" s="146" t="str">
        <f t="shared" ca="1" si="41"/>
        <v/>
      </c>
      <c r="U255" s="206" t="str">
        <f t="shared" ca="1" si="42"/>
        <v/>
      </c>
      <c r="V255" s="207" t="str">
        <f t="shared" ca="1" si="43"/>
        <v/>
      </c>
      <c r="W255" s="595">
        <f ca="1">IF($Y255&gt;0,CHOOSE(MATCH(RegimeExecucao,{"Unitário","Global"},0),IF($A255="S",$Y255/$X255,""),($Y255/$X255)*100),0)</f>
        <v>0</v>
      </c>
      <c r="X255" s="433" t="str">
        <f ca="1">IF($Y255&gt;0,CHOOSE(MATCH(RegimeExecucao,{"Unitário","Global"},0),IF($A255="S",ROUND($H255,ORÇAMENTO!$AF$10),""),ROUND($I255,ORÇAMENTO!$AF$11)),"")</f>
        <v/>
      </c>
      <c r="Y255" s="433">
        <f t="shared" ca="1" si="44"/>
        <v>0</v>
      </c>
      <c r="Z255" s="434"/>
      <c r="AB255" s="431"/>
      <c r="AC255" s="569"/>
      <c r="AD255" s="569"/>
      <c r="AE255" s="569"/>
      <c r="AF255" s="569"/>
      <c r="AG255" s="569"/>
      <c r="AH255" s="569"/>
      <c r="AI255" s="569"/>
      <c r="AJ255" s="569"/>
      <c r="AK255" s="569"/>
      <c r="AL255" s="569"/>
      <c r="AM255" s="432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3" t="str">
        <f t="shared" ca="1" si="34"/>
        <v/>
      </c>
      <c r="D256" s="146" t="str">
        <f ca="1">ORÇAMENTO!O256</f>
        <v>-</v>
      </c>
      <c r="E256" s="206" t="str">
        <f t="shared" ca="1" si="35"/>
        <v>(abra o arquivo 'Referência 05-2023.xls)</v>
      </c>
      <c r="F256" s="207" t="str">
        <f t="shared" ca="1" si="36"/>
        <v>-</v>
      </c>
      <c r="G256" s="151">
        <f ca="1">IF(RegimeExecucao="Global","",ORÇAMENTO!T256)</f>
        <v>0</v>
      </c>
      <c r="H256" s="151">
        <f ca="1">IF(RegimeExecucao="Global","",ORÇAMENTO!W256)</f>
        <v>0</v>
      </c>
      <c r="I256" s="154">
        <f ca="1">ORÇAMENTO!X256</f>
        <v>0</v>
      </c>
      <c r="J256" s="427">
        <f t="shared" ca="1" si="37"/>
        <v>0</v>
      </c>
      <c r="K256" s="151">
        <f t="shared" ca="1" si="38"/>
        <v>0</v>
      </c>
      <c r="L256" s="428">
        <f t="shared" ca="1" si="39"/>
        <v>0</v>
      </c>
      <c r="M256" s="429">
        <f ca="1">IF($A256="S",VTOTALBM,IF($A256=0,0,ROUND(SomaAgrupBM,15-13*ORÇAMENTO!$AF$11)))</f>
        <v>0</v>
      </c>
      <c r="N256" s="430">
        <f t="shared" ca="1" si="40"/>
        <v>0</v>
      </c>
      <c r="O256" s="154">
        <f ca="1">IF($A256="S",VTOTALBM,IF($A256=0,0,ROUND(SomaAgrupBM,15-13*ORÇAMENTO!$AF$11)))</f>
        <v>0</v>
      </c>
      <c r="Q256" s="431"/>
      <c r="R256" s="432"/>
      <c r="T256" s="146" t="str">
        <f t="shared" ca="1" si="41"/>
        <v/>
      </c>
      <c r="U256" s="206" t="str">
        <f t="shared" ca="1" si="42"/>
        <v/>
      </c>
      <c r="V256" s="207" t="str">
        <f t="shared" ca="1" si="43"/>
        <v/>
      </c>
      <c r="W256" s="595">
        <f ca="1">IF($Y256&gt;0,CHOOSE(MATCH(RegimeExecucao,{"Unitário","Global"},0),IF($A256="S",$Y256/$X256,""),($Y256/$X256)*100),0)</f>
        <v>0</v>
      </c>
      <c r="X256" s="433" t="str">
        <f ca="1">IF($Y256&gt;0,CHOOSE(MATCH(RegimeExecucao,{"Unitário","Global"},0),IF($A256="S",ROUND($H256,ORÇAMENTO!$AF$10),""),ROUND($I256,ORÇAMENTO!$AF$11)),"")</f>
        <v/>
      </c>
      <c r="Y256" s="433">
        <f t="shared" ca="1" si="44"/>
        <v>0</v>
      </c>
      <c r="Z256" s="434"/>
      <c r="AB256" s="431"/>
      <c r="AC256" s="569"/>
      <c r="AD256" s="569"/>
      <c r="AE256" s="569"/>
      <c r="AF256" s="569"/>
      <c r="AG256" s="569"/>
      <c r="AH256" s="569"/>
      <c r="AI256" s="569"/>
      <c r="AJ256" s="569"/>
      <c r="AK256" s="569"/>
      <c r="AL256" s="569"/>
      <c r="AM256" s="432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3" t="str">
        <f t="shared" ca="1" si="34"/>
        <v/>
      </c>
      <c r="D257" s="146" t="str">
        <f ca="1">ORÇAMENTO!O257</f>
        <v>-</v>
      </c>
      <c r="E257" s="206" t="str">
        <f t="shared" ca="1" si="35"/>
        <v>(abra o arquivo 'Referência 05-2023.xls)</v>
      </c>
      <c r="F257" s="207" t="str">
        <f t="shared" ca="1" si="36"/>
        <v>-</v>
      </c>
      <c r="G257" s="151">
        <f ca="1">IF(RegimeExecucao="Global","",ORÇAMENTO!T257)</f>
        <v>0</v>
      </c>
      <c r="H257" s="151">
        <f ca="1">IF(RegimeExecucao="Global","",ORÇAMENTO!W257)</f>
        <v>0</v>
      </c>
      <c r="I257" s="154">
        <f ca="1">ORÇAMENTO!X257</f>
        <v>0</v>
      </c>
      <c r="J257" s="427">
        <f t="shared" ca="1" si="37"/>
        <v>0</v>
      </c>
      <c r="K257" s="151">
        <f t="shared" ca="1" si="38"/>
        <v>0</v>
      </c>
      <c r="L257" s="428">
        <f t="shared" ca="1" si="39"/>
        <v>0</v>
      </c>
      <c r="M257" s="429">
        <f ca="1">IF($A257="S",VTOTALBM,IF($A257=0,0,ROUND(SomaAgrupBM,15-13*ORÇAMENTO!$AF$11)))</f>
        <v>0</v>
      </c>
      <c r="N257" s="430">
        <f t="shared" ca="1" si="40"/>
        <v>0</v>
      </c>
      <c r="O257" s="154">
        <f ca="1">IF($A257="S",VTOTALBM,IF($A257=0,0,ROUND(SomaAgrupBM,15-13*ORÇAMENTO!$AF$11)))</f>
        <v>0</v>
      </c>
      <c r="Q257" s="431"/>
      <c r="R257" s="432"/>
      <c r="T257" s="146" t="str">
        <f t="shared" ca="1" si="41"/>
        <v/>
      </c>
      <c r="U257" s="206" t="str">
        <f t="shared" ca="1" si="42"/>
        <v/>
      </c>
      <c r="V257" s="207" t="str">
        <f t="shared" ca="1" si="43"/>
        <v/>
      </c>
      <c r="W257" s="595">
        <f ca="1">IF($Y257&gt;0,CHOOSE(MATCH(RegimeExecucao,{"Unitário","Global"},0),IF($A257="S",$Y257/$X257,""),($Y257/$X257)*100),0)</f>
        <v>0</v>
      </c>
      <c r="X257" s="433" t="str">
        <f ca="1">IF($Y257&gt;0,CHOOSE(MATCH(RegimeExecucao,{"Unitário","Global"},0),IF($A257="S",ROUND($H257,ORÇAMENTO!$AF$10),""),ROUND($I257,ORÇAMENTO!$AF$11)),"")</f>
        <v/>
      </c>
      <c r="Y257" s="433">
        <f t="shared" ca="1" si="44"/>
        <v>0</v>
      </c>
      <c r="Z257" s="434"/>
      <c r="AB257" s="431"/>
      <c r="AC257" s="569"/>
      <c r="AD257" s="569"/>
      <c r="AE257" s="569"/>
      <c r="AF257" s="569"/>
      <c r="AG257" s="569"/>
      <c r="AH257" s="569"/>
      <c r="AI257" s="569"/>
      <c r="AJ257" s="569"/>
      <c r="AK257" s="569"/>
      <c r="AL257" s="569"/>
      <c r="AM257" s="432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3" t="str">
        <f t="shared" ca="1" si="34"/>
        <v/>
      </c>
      <c r="D258" s="146" t="str">
        <f ca="1">ORÇAMENTO!O258</f>
        <v>-</v>
      </c>
      <c r="E258" s="206" t="str">
        <f t="shared" ca="1" si="35"/>
        <v>(abra o arquivo 'Referência 05-2023.xls)</v>
      </c>
      <c r="F258" s="207" t="str">
        <f t="shared" ca="1" si="36"/>
        <v>-</v>
      </c>
      <c r="G258" s="151">
        <f ca="1">IF(RegimeExecucao="Global","",ORÇAMENTO!T258)</f>
        <v>0</v>
      </c>
      <c r="H258" s="151">
        <f ca="1">IF(RegimeExecucao="Global","",ORÇAMENTO!W258)</f>
        <v>0</v>
      </c>
      <c r="I258" s="154">
        <f ca="1">ORÇAMENTO!X258</f>
        <v>0</v>
      </c>
      <c r="J258" s="427">
        <f t="shared" ca="1" si="37"/>
        <v>0</v>
      </c>
      <c r="K258" s="151">
        <f t="shared" ca="1" si="38"/>
        <v>0</v>
      </c>
      <c r="L258" s="428">
        <f t="shared" ca="1" si="39"/>
        <v>0</v>
      </c>
      <c r="M258" s="429">
        <f ca="1">IF($A258="S",VTOTALBM,IF($A258=0,0,ROUND(SomaAgrupBM,15-13*ORÇAMENTO!$AF$11)))</f>
        <v>0</v>
      </c>
      <c r="N258" s="430">
        <f t="shared" ca="1" si="40"/>
        <v>0</v>
      </c>
      <c r="O258" s="154">
        <f ca="1">IF($A258="S",VTOTALBM,IF($A258=0,0,ROUND(SomaAgrupBM,15-13*ORÇAMENTO!$AF$11)))</f>
        <v>0</v>
      </c>
      <c r="Q258" s="431"/>
      <c r="R258" s="432"/>
      <c r="T258" s="146" t="str">
        <f t="shared" ca="1" si="41"/>
        <v/>
      </c>
      <c r="U258" s="206" t="str">
        <f t="shared" ca="1" si="42"/>
        <v/>
      </c>
      <c r="V258" s="207" t="str">
        <f t="shared" ca="1" si="43"/>
        <v/>
      </c>
      <c r="W258" s="595">
        <f ca="1">IF($Y258&gt;0,CHOOSE(MATCH(RegimeExecucao,{"Unitário","Global"},0),IF($A258="S",$Y258/$X258,""),($Y258/$X258)*100),0)</f>
        <v>0</v>
      </c>
      <c r="X258" s="433" t="str">
        <f ca="1">IF($Y258&gt;0,CHOOSE(MATCH(RegimeExecucao,{"Unitário","Global"},0),IF($A258="S",ROUND($H258,ORÇAMENTO!$AF$10),""),ROUND($I258,ORÇAMENTO!$AF$11)),"")</f>
        <v/>
      </c>
      <c r="Y258" s="433">
        <f t="shared" ca="1" si="44"/>
        <v>0</v>
      </c>
      <c r="Z258" s="434"/>
      <c r="AB258" s="431"/>
      <c r="AC258" s="569"/>
      <c r="AD258" s="569"/>
      <c r="AE258" s="569"/>
      <c r="AF258" s="569"/>
      <c r="AG258" s="569"/>
      <c r="AH258" s="569"/>
      <c r="AI258" s="569"/>
      <c r="AJ258" s="569"/>
      <c r="AK258" s="569"/>
      <c r="AL258" s="569"/>
      <c r="AM258" s="432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3" t="str">
        <f t="shared" ca="1" si="34"/>
        <v/>
      </c>
      <c r="D259" s="146" t="str">
        <f ca="1">ORÇAMENTO!O259</f>
        <v>-</v>
      </c>
      <c r="E259" s="206" t="str">
        <f t="shared" ca="1" si="35"/>
        <v>(abra o arquivo 'Referência 05-2023.xls)</v>
      </c>
      <c r="F259" s="207" t="str">
        <f t="shared" ca="1" si="36"/>
        <v>-</v>
      </c>
      <c r="G259" s="151">
        <f ca="1">IF(RegimeExecucao="Global","",ORÇAMENTO!T259)</f>
        <v>0</v>
      </c>
      <c r="H259" s="151">
        <f ca="1">IF(RegimeExecucao="Global","",ORÇAMENTO!W259)</f>
        <v>0</v>
      </c>
      <c r="I259" s="154">
        <f ca="1">ORÇAMENTO!X259</f>
        <v>0</v>
      </c>
      <c r="J259" s="427">
        <f t="shared" ca="1" si="37"/>
        <v>0</v>
      </c>
      <c r="K259" s="151">
        <f t="shared" ca="1" si="38"/>
        <v>0</v>
      </c>
      <c r="L259" s="428">
        <f t="shared" ca="1" si="39"/>
        <v>0</v>
      </c>
      <c r="M259" s="429">
        <f ca="1">IF($A259="S",VTOTALBM,IF($A259=0,0,ROUND(SomaAgrupBM,15-13*ORÇAMENTO!$AF$11)))</f>
        <v>0</v>
      </c>
      <c r="N259" s="430">
        <f t="shared" ca="1" si="40"/>
        <v>0</v>
      </c>
      <c r="O259" s="154">
        <f ca="1">IF($A259="S",VTOTALBM,IF($A259=0,0,ROUND(SomaAgrupBM,15-13*ORÇAMENTO!$AF$11)))</f>
        <v>0</v>
      </c>
      <c r="Q259" s="431"/>
      <c r="R259" s="432"/>
      <c r="T259" s="146" t="str">
        <f t="shared" ca="1" si="41"/>
        <v/>
      </c>
      <c r="U259" s="206" t="str">
        <f t="shared" ca="1" si="42"/>
        <v/>
      </c>
      <c r="V259" s="207" t="str">
        <f t="shared" ca="1" si="43"/>
        <v/>
      </c>
      <c r="W259" s="595">
        <f ca="1">IF($Y259&gt;0,CHOOSE(MATCH(RegimeExecucao,{"Unitário","Global"},0),IF($A259="S",$Y259/$X259,""),($Y259/$X259)*100),0)</f>
        <v>0</v>
      </c>
      <c r="X259" s="433" t="str">
        <f ca="1">IF($Y259&gt;0,CHOOSE(MATCH(RegimeExecucao,{"Unitário","Global"},0),IF($A259="S",ROUND($H259,ORÇAMENTO!$AF$10),""),ROUND($I259,ORÇAMENTO!$AF$11)),"")</f>
        <v/>
      </c>
      <c r="Y259" s="433">
        <f t="shared" ca="1" si="44"/>
        <v>0</v>
      </c>
      <c r="Z259" s="434"/>
      <c r="AB259" s="431"/>
      <c r="AC259" s="569"/>
      <c r="AD259" s="569"/>
      <c r="AE259" s="569"/>
      <c r="AF259" s="569"/>
      <c r="AG259" s="569"/>
      <c r="AH259" s="569"/>
      <c r="AI259" s="569"/>
      <c r="AJ259" s="569"/>
      <c r="AK259" s="569"/>
      <c r="AL259" s="569"/>
      <c r="AM259" s="432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3" t="str">
        <f t="shared" ca="1" si="34"/>
        <v/>
      </c>
      <c r="D260" s="146" t="str">
        <f ca="1">ORÇAMENTO!O260</f>
        <v>-</v>
      </c>
      <c r="E260" s="206" t="str">
        <f t="shared" ca="1" si="35"/>
        <v>(abra o arquivo 'Referência 05-2023.xls)</v>
      </c>
      <c r="F260" s="207" t="str">
        <f t="shared" ca="1" si="36"/>
        <v>-</v>
      </c>
      <c r="G260" s="151">
        <f ca="1">IF(RegimeExecucao="Global","",ORÇAMENTO!T260)</f>
        <v>0</v>
      </c>
      <c r="H260" s="151">
        <f ca="1">IF(RegimeExecucao="Global","",ORÇAMENTO!W260)</f>
        <v>0</v>
      </c>
      <c r="I260" s="154">
        <f ca="1">ORÇAMENTO!X260</f>
        <v>0</v>
      </c>
      <c r="J260" s="427">
        <f t="shared" ca="1" si="37"/>
        <v>0</v>
      </c>
      <c r="K260" s="151">
        <f t="shared" ca="1" si="38"/>
        <v>0</v>
      </c>
      <c r="L260" s="428">
        <f t="shared" ca="1" si="39"/>
        <v>0</v>
      </c>
      <c r="M260" s="429">
        <f ca="1">IF($A260="S",VTOTALBM,IF($A260=0,0,ROUND(SomaAgrupBM,15-13*ORÇAMENTO!$AF$11)))</f>
        <v>0</v>
      </c>
      <c r="N260" s="430">
        <f t="shared" ca="1" si="40"/>
        <v>0</v>
      </c>
      <c r="O260" s="154">
        <f ca="1">IF($A260="S",VTOTALBM,IF($A260=0,0,ROUND(SomaAgrupBM,15-13*ORÇAMENTO!$AF$11)))</f>
        <v>0</v>
      </c>
      <c r="Q260" s="431"/>
      <c r="R260" s="432"/>
      <c r="T260" s="146" t="str">
        <f t="shared" ca="1" si="41"/>
        <v/>
      </c>
      <c r="U260" s="206" t="str">
        <f t="shared" ca="1" si="42"/>
        <v/>
      </c>
      <c r="V260" s="207" t="str">
        <f t="shared" ca="1" si="43"/>
        <v/>
      </c>
      <c r="W260" s="595">
        <f ca="1">IF($Y260&gt;0,CHOOSE(MATCH(RegimeExecucao,{"Unitário","Global"},0),IF($A260="S",$Y260/$X260,""),($Y260/$X260)*100),0)</f>
        <v>0</v>
      </c>
      <c r="X260" s="433" t="str">
        <f ca="1">IF($Y260&gt;0,CHOOSE(MATCH(RegimeExecucao,{"Unitário","Global"},0),IF($A260="S",ROUND($H260,ORÇAMENTO!$AF$10),""),ROUND($I260,ORÇAMENTO!$AF$11)),"")</f>
        <v/>
      </c>
      <c r="Y260" s="433">
        <f t="shared" ca="1" si="44"/>
        <v>0</v>
      </c>
      <c r="Z260" s="434"/>
      <c r="AB260" s="431"/>
      <c r="AC260" s="569"/>
      <c r="AD260" s="569"/>
      <c r="AE260" s="569"/>
      <c r="AF260" s="569"/>
      <c r="AG260" s="569"/>
      <c r="AH260" s="569"/>
      <c r="AI260" s="569"/>
      <c r="AJ260" s="569"/>
      <c r="AK260" s="569"/>
      <c r="AL260" s="569"/>
      <c r="AM260" s="432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3" t="str">
        <f t="shared" ca="1" si="34"/>
        <v/>
      </c>
      <c r="D261" s="146" t="str">
        <f ca="1">ORÇAMENTO!O261</f>
        <v>-</v>
      </c>
      <c r="E261" s="206" t="str">
        <f t="shared" ca="1" si="35"/>
        <v>(abra o arquivo 'Referência 05-2023.xls)</v>
      </c>
      <c r="F261" s="207" t="str">
        <f t="shared" ca="1" si="36"/>
        <v>-</v>
      </c>
      <c r="G261" s="151">
        <f ca="1">IF(RegimeExecucao="Global","",ORÇAMENTO!T261)</f>
        <v>0</v>
      </c>
      <c r="H261" s="151">
        <f ca="1">IF(RegimeExecucao="Global","",ORÇAMENTO!W261)</f>
        <v>0</v>
      </c>
      <c r="I261" s="154">
        <f ca="1">ORÇAMENTO!X261</f>
        <v>0</v>
      </c>
      <c r="J261" s="427">
        <f t="shared" ca="1" si="37"/>
        <v>0</v>
      </c>
      <c r="K261" s="151">
        <f t="shared" ca="1" si="38"/>
        <v>0</v>
      </c>
      <c r="L261" s="428">
        <f t="shared" ca="1" si="39"/>
        <v>0</v>
      </c>
      <c r="M261" s="429">
        <f ca="1">IF($A261="S",VTOTALBM,IF($A261=0,0,ROUND(SomaAgrupBM,15-13*ORÇAMENTO!$AF$11)))</f>
        <v>0</v>
      </c>
      <c r="N261" s="430">
        <f t="shared" ca="1" si="40"/>
        <v>0</v>
      </c>
      <c r="O261" s="154">
        <f ca="1">IF($A261="S",VTOTALBM,IF($A261=0,0,ROUND(SomaAgrupBM,15-13*ORÇAMENTO!$AF$11)))</f>
        <v>0</v>
      </c>
      <c r="Q261" s="431"/>
      <c r="R261" s="432"/>
      <c r="T261" s="146" t="str">
        <f t="shared" ca="1" si="41"/>
        <v/>
      </c>
      <c r="U261" s="206" t="str">
        <f t="shared" ca="1" si="42"/>
        <v/>
      </c>
      <c r="V261" s="207" t="str">
        <f t="shared" ca="1" si="43"/>
        <v/>
      </c>
      <c r="W261" s="595">
        <f ca="1">IF($Y261&gt;0,CHOOSE(MATCH(RegimeExecucao,{"Unitário","Global"},0),IF($A261="S",$Y261/$X261,""),($Y261/$X261)*100),0)</f>
        <v>0</v>
      </c>
      <c r="X261" s="433" t="str">
        <f ca="1">IF($Y261&gt;0,CHOOSE(MATCH(RegimeExecucao,{"Unitário","Global"},0),IF($A261="S",ROUND($H261,ORÇAMENTO!$AF$10),""),ROUND($I261,ORÇAMENTO!$AF$11)),"")</f>
        <v/>
      </c>
      <c r="Y261" s="433">
        <f t="shared" ca="1" si="44"/>
        <v>0</v>
      </c>
      <c r="Z261" s="434"/>
      <c r="AB261" s="431"/>
      <c r="AC261" s="569"/>
      <c r="AD261" s="569"/>
      <c r="AE261" s="569"/>
      <c r="AF261" s="569"/>
      <c r="AG261" s="569"/>
      <c r="AH261" s="569"/>
      <c r="AI261" s="569"/>
      <c r="AJ261" s="569"/>
      <c r="AK261" s="569"/>
      <c r="AL261" s="569"/>
      <c r="AM261" s="432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3" t="str">
        <f t="shared" ca="1" si="34"/>
        <v/>
      </c>
      <c r="D262" s="146" t="str">
        <f ca="1">ORÇAMENTO!O262</f>
        <v>-</v>
      </c>
      <c r="E262" s="206" t="str">
        <f t="shared" ca="1" si="35"/>
        <v>(abra o arquivo 'Referência 05-2023.xls)</v>
      </c>
      <c r="F262" s="207" t="str">
        <f t="shared" ca="1" si="36"/>
        <v>-</v>
      </c>
      <c r="G262" s="151">
        <f ca="1">IF(RegimeExecucao="Global","",ORÇAMENTO!T262)</f>
        <v>0</v>
      </c>
      <c r="H262" s="151">
        <f ca="1">IF(RegimeExecucao="Global","",ORÇAMENTO!W262)</f>
        <v>0</v>
      </c>
      <c r="I262" s="154">
        <f ca="1">ORÇAMENTO!X262</f>
        <v>0</v>
      </c>
      <c r="J262" s="427">
        <f t="shared" ca="1" si="37"/>
        <v>0</v>
      </c>
      <c r="K262" s="151">
        <f t="shared" ca="1" si="38"/>
        <v>0</v>
      </c>
      <c r="L262" s="428">
        <f t="shared" ca="1" si="39"/>
        <v>0</v>
      </c>
      <c r="M262" s="429">
        <f ca="1">IF($A262="S",VTOTALBM,IF($A262=0,0,ROUND(SomaAgrupBM,15-13*ORÇAMENTO!$AF$11)))</f>
        <v>0</v>
      </c>
      <c r="N262" s="430">
        <f t="shared" ca="1" si="40"/>
        <v>0</v>
      </c>
      <c r="O262" s="154">
        <f ca="1">IF($A262="S",VTOTALBM,IF($A262=0,0,ROUND(SomaAgrupBM,15-13*ORÇAMENTO!$AF$11)))</f>
        <v>0</v>
      </c>
      <c r="Q262" s="431"/>
      <c r="R262" s="432"/>
      <c r="T262" s="146" t="str">
        <f t="shared" ca="1" si="41"/>
        <v/>
      </c>
      <c r="U262" s="206" t="str">
        <f t="shared" ca="1" si="42"/>
        <v/>
      </c>
      <c r="V262" s="207" t="str">
        <f t="shared" ca="1" si="43"/>
        <v/>
      </c>
      <c r="W262" s="595">
        <f ca="1">IF($Y262&gt;0,CHOOSE(MATCH(RegimeExecucao,{"Unitário","Global"},0),IF($A262="S",$Y262/$X262,""),($Y262/$X262)*100),0)</f>
        <v>0</v>
      </c>
      <c r="X262" s="433" t="str">
        <f ca="1">IF($Y262&gt;0,CHOOSE(MATCH(RegimeExecucao,{"Unitário","Global"},0),IF($A262="S",ROUND($H262,ORÇAMENTO!$AF$10),""),ROUND($I262,ORÇAMENTO!$AF$11)),"")</f>
        <v/>
      </c>
      <c r="Y262" s="433">
        <f t="shared" ca="1" si="44"/>
        <v>0</v>
      </c>
      <c r="Z262" s="434"/>
      <c r="AB262" s="431"/>
      <c r="AC262" s="569"/>
      <c r="AD262" s="569"/>
      <c r="AE262" s="569"/>
      <c r="AF262" s="569"/>
      <c r="AG262" s="569"/>
      <c r="AH262" s="569"/>
      <c r="AI262" s="569"/>
      <c r="AJ262" s="569"/>
      <c r="AK262" s="569"/>
      <c r="AL262" s="569"/>
      <c r="AM262" s="432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3" t="str">
        <f t="shared" ca="1" si="34"/>
        <v/>
      </c>
      <c r="D263" s="146" t="str">
        <f ca="1">ORÇAMENTO!O263</f>
        <v>-</v>
      </c>
      <c r="E263" s="206" t="str">
        <f t="shared" ca="1" si="35"/>
        <v>(abra o arquivo 'Referência 05-2023.xls)</v>
      </c>
      <c r="F263" s="207" t="str">
        <f t="shared" ca="1" si="36"/>
        <v>-</v>
      </c>
      <c r="G263" s="151">
        <f ca="1">IF(RegimeExecucao="Global","",ORÇAMENTO!T263)</f>
        <v>0</v>
      </c>
      <c r="H263" s="151">
        <f ca="1">IF(RegimeExecucao="Global","",ORÇAMENTO!W263)</f>
        <v>0</v>
      </c>
      <c r="I263" s="154">
        <f ca="1">ORÇAMENTO!X263</f>
        <v>0</v>
      </c>
      <c r="J263" s="427">
        <f t="shared" ca="1" si="37"/>
        <v>0</v>
      </c>
      <c r="K263" s="151">
        <f t="shared" ca="1" si="38"/>
        <v>0</v>
      </c>
      <c r="L263" s="428">
        <f t="shared" ca="1" si="39"/>
        <v>0</v>
      </c>
      <c r="M263" s="429">
        <f ca="1">IF($A263="S",VTOTALBM,IF($A263=0,0,ROUND(SomaAgrupBM,15-13*ORÇAMENTO!$AF$11)))</f>
        <v>0</v>
      </c>
      <c r="N263" s="430">
        <f t="shared" ca="1" si="40"/>
        <v>0</v>
      </c>
      <c r="O263" s="154">
        <f ca="1">IF($A263="S",VTOTALBM,IF($A263=0,0,ROUND(SomaAgrupBM,15-13*ORÇAMENTO!$AF$11)))</f>
        <v>0</v>
      </c>
      <c r="Q263" s="431"/>
      <c r="R263" s="432"/>
      <c r="T263" s="146" t="str">
        <f t="shared" ca="1" si="41"/>
        <v/>
      </c>
      <c r="U263" s="206" t="str">
        <f t="shared" ca="1" si="42"/>
        <v/>
      </c>
      <c r="V263" s="207" t="str">
        <f t="shared" ca="1" si="43"/>
        <v/>
      </c>
      <c r="W263" s="595">
        <f ca="1">IF($Y263&gt;0,CHOOSE(MATCH(RegimeExecucao,{"Unitário","Global"},0),IF($A263="S",$Y263/$X263,""),($Y263/$X263)*100),0)</f>
        <v>0</v>
      </c>
      <c r="X263" s="433" t="str">
        <f ca="1">IF($Y263&gt;0,CHOOSE(MATCH(RegimeExecucao,{"Unitário","Global"},0),IF($A263="S",ROUND($H263,ORÇAMENTO!$AF$10),""),ROUND($I263,ORÇAMENTO!$AF$11)),"")</f>
        <v/>
      </c>
      <c r="Y263" s="433">
        <f t="shared" ca="1" si="44"/>
        <v>0</v>
      </c>
      <c r="Z263" s="434"/>
      <c r="AB263" s="431"/>
      <c r="AC263" s="569"/>
      <c r="AD263" s="569"/>
      <c r="AE263" s="569"/>
      <c r="AF263" s="569"/>
      <c r="AG263" s="569"/>
      <c r="AH263" s="569"/>
      <c r="AI263" s="569"/>
      <c r="AJ263" s="569"/>
      <c r="AK263" s="569"/>
      <c r="AL263" s="569"/>
      <c r="AM263" s="432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3" t="str">
        <f t="shared" ca="1" si="34"/>
        <v/>
      </c>
      <c r="D264" s="146" t="str">
        <f ca="1">ORÇAMENTO!O264</f>
        <v>-</v>
      </c>
      <c r="E264" s="206" t="str">
        <f t="shared" ca="1" si="35"/>
        <v>(abra o arquivo 'Referência 05-2023.xls)</v>
      </c>
      <c r="F264" s="207" t="str">
        <f t="shared" ca="1" si="36"/>
        <v>-</v>
      </c>
      <c r="G264" s="151">
        <f ca="1">IF(RegimeExecucao="Global","",ORÇAMENTO!T264)</f>
        <v>0</v>
      </c>
      <c r="H264" s="151">
        <f ca="1">IF(RegimeExecucao="Global","",ORÇAMENTO!W264)</f>
        <v>0</v>
      </c>
      <c r="I264" s="154">
        <f ca="1">ORÇAMENTO!X264</f>
        <v>0</v>
      </c>
      <c r="J264" s="427">
        <f t="shared" ca="1" si="37"/>
        <v>0</v>
      </c>
      <c r="K264" s="151">
        <f t="shared" ca="1" si="38"/>
        <v>0</v>
      </c>
      <c r="L264" s="428">
        <f t="shared" ca="1" si="39"/>
        <v>0</v>
      </c>
      <c r="M264" s="429">
        <f ca="1">IF($A264="S",VTOTALBM,IF($A264=0,0,ROUND(SomaAgrupBM,15-13*ORÇAMENTO!$AF$11)))</f>
        <v>0</v>
      </c>
      <c r="N264" s="430">
        <f t="shared" ca="1" si="40"/>
        <v>0</v>
      </c>
      <c r="O264" s="154">
        <f ca="1">IF($A264="S",VTOTALBM,IF($A264=0,0,ROUND(SomaAgrupBM,15-13*ORÇAMENTO!$AF$11)))</f>
        <v>0</v>
      </c>
      <c r="Q264" s="431"/>
      <c r="R264" s="432"/>
      <c r="T264" s="146" t="str">
        <f t="shared" ca="1" si="41"/>
        <v/>
      </c>
      <c r="U264" s="206" t="str">
        <f t="shared" ca="1" si="42"/>
        <v/>
      </c>
      <c r="V264" s="207" t="str">
        <f t="shared" ca="1" si="43"/>
        <v/>
      </c>
      <c r="W264" s="595">
        <f ca="1">IF($Y264&gt;0,CHOOSE(MATCH(RegimeExecucao,{"Unitário","Global"},0),IF($A264="S",$Y264/$X264,""),($Y264/$X264)*100),0)</f>
        <v>0</v>
      </c>
      <c r="X264" s="433" t="str">
        <f ca="1">IF($Y264&gt;0,CHOOSE(MATCH(RegimeExecucao,{"Unitário","Global"},0),IF($A264="S",ROUND($H264,ORÇAMENTO!$AF$10),""),ROUND($I264,ORÇAMENTO!$AF$11)),"")</f>
        <v/>
      </c>
      <c r="Y264" s="433">
        <f t="shared" ca="1" si="44"/>
        <v>0</v>
      </c>
      <c r="Z264" s="434"/>
      <c r="AB264" s="431"/>
      <c r="AC264" s="569"/>
      <c r="AD264" s="569"/>
      <c r="AE264" s="569"/>
      <c r="AF264" s="569"/>
      <c r="AG264" s="569"/>
      <c r="AH264" s="569"/>
      <c r="AI264" s="569"/>
      <c r="AJ264" s="569"/>
      <c r="AK264" s="569"/>
      <c r="AL264" s="569"/>
      <c r="AM264" s="432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3" t="str">
        <f t="shared" ca="1" si="34"/>
        <v/>
      </c>
      <c r="D265" s="146" t="str">
        <f ca="1">ORÇAMENTO!O265</f>
        <v>-</v>
      </c>
      <c r="E265" s="206" t="str">
        <f t="shared" ca="1" si="35"/>
        <v>(abra o arquivo 'Referência 05-2023.xls)</v>
      </c>
      <c r="F265" s="207" t="str">
        <f t="shared" ca="1" si="36"/>
        <v>-</v>
      </c>
      <c r="G265" s="151">
        <f ca="1">IF(RegimeExecucao="Global","",ORÇAMENTO!T265)</f>
        <v>0</v>
      </c>
      <c r="H265" s="151">
        <f ca="1">IF(RegimeExecucao="Global","",ORÇAMENTO!W265)</f>
        <v>0</v>
      </c>
      <c r="I265" s="154">
        <f ca="1">ORÇAMENTO!X265</f>
        <v>0</v>
      </c>
      <c r="J265" s="427">
        <f t="shared" ca="1" si="37"/>
        <v>0</v>
      </c>
      <c r="K265" s="151">
        <f t="shared" ca="1" si="38"/>
        <v>0</v>
      </c>
      <c r="L265" s="428">
        <f t="shared" ca="1" si="39"/>
        <v>0</v>
      </c>
      <c r="M265" s="429">
        <f ca="1">IF($A265="S",VTOTALBM,IF($A265=0,0,ROUND(SomaAgrupBM,15-13*ORÇAMENTO!$AF$11)))</f>
        <v>0</v>
      </c>
      <c r="N265" s="430">
        <f t="shared" ca="1" si="40"/>
        <v>0</v>
      </c>
      <c r="O265" s="154">
        <f ca="1">IF($A265="S",VTOTALBM,IF($A265=0,0,ROUND(SomaAgrupBM,15-13*ORÇAMENTO!$AF$11)))</f>
        <v>0</v>
      </c>
      <c r="Q265" s="431"/>
      <c r="R265" s="432"/>
      <c r="T265" s="146" t="str">
        <f t="shared" ca="1" si="41"/>
        <v/>
      </c>
      <c r="U265" s="206" t="str">
        <f t="shared" ca="1" si="42"/>
        <v/>
      </c>
      <c r="V265" s="207" t="str">
        <f t="shared" ca="1" si="43"/>
        <v/>
      </c>
      <c r="W265" s="595">
        <f ca="1">IF($Y265&gt;0,CHOOSE(MATCH(RegimeExecucao,{"Unitário","Global"},0),IF($A265="S",$Y265/$X265,""),($Y265/$X265)*100),0)</f>
        <v>0</v>
      </c>
      <c r="X265" s="433" t="str">
        <f ca="1">IF($Y265&gt;0,CHOOSE(MATCH(RegimeExecucao,{"Unitário","Global"},0),IF($A265="S",ROUND($H265,ORÇAMENTO!$AF$10),""),ROUND($I265,ORÇAMENTO!$AF$11)),"")</f>
        <v/>
      </c>
      <c r="Y265" s="433">
        <f t="shared" ca="1" si="44"/>
        <v>0</v>
      </c>
      <c r="Z265" s="434"/>
      <c r="AB265" s="431"/>
      <c r="AC265" s="569"/>
      <c r="AD265" s="569"/>
      <c r="AE265" s="569"/>
      <c r="AF265" s="569"/>
      <c r="AG265" s="569"/>
      <c r="AH265" s="569"/>
      <c r="AI265" s="569"/>
      <c r="AJ265" s="569"/>
      <c r="AK265" s="569"/>
      <c r="AL265" s="569"/>
      <c r="AM265" s="432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3" t="s">
        <v>245</v>
      </c>
      <c r="D266" s="537"/>
      <c r="E266" s="534"/>
      <c r="F266" s="534"/>
      <c r="G266" s="534"/>
      <c r="H266" s="534"/>
      <c r="I266" s="535"/>
      <c r="J266" s="537"/>
      <c r="K266" s="534"/>
      <c r="L266" s="535"/>
      <c r="M266" s="566"/>
      <c r="N266" s="567"/>
      <c r="O266" s="568"/>
      <c r="Q266" s="537"/>
      <c r="R266" s="535"/>
      <c r="T266" s="537"/>
      <c r="U266" s="534"/>
      <c r="V266" s="534"/>
      <c r="W266" s="534"/>
      <c r="X266" s="534"/>
      <c r="Y266" s="534"/>
      <c r="Z266" s="535"/>
      <c r="AB266" s="537"/>
      <c r="AC266" s="534"/>
      <c r="AD266" s="534"/>
      <c r="AE266" s="534"/>
      <c r="AF266" s="534"/>
      <c r="AG266" s="534"/>
      <c r="AH266" s="534"/>
      <c r="AI266" s="534"/>
      <c r="AJ266" s="534"/>
      <c r="AK266" s="534"/>
      <c r="AL266" s="534"/>
      <c r="AM266" s="535"/>
    </row>
    <row r="267" spans="1:41" x14ac:dyDescent="0.2"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1:41" ht="14.25" x14ac:dyDescent="0.2">
      <c r="C268" s="104"/>
      <c r="D268" s="765" t="s">
        <v>186</v>
      </c>
      <c r="E268" s="765"/>
      <c r="F268" s="765"/>
      <c r="G268" s="765"/>
      <c r="H268" s="765"/>
      <c r="I268" s="765"/>
      <c r="J268" s="765"/>
      <c r="K268" s="765"/>
      <c r="L268" s="765"/>
      <c r="M268" s="765"/>
      <c r="N268" s="765"/>
      <c r="O268" s="765"/>
      <c r="T268" s="766" t="s">
        <v>352</v>
      </c>
      <c r="U268" s="766"/>
      <c r="V268" s="766"/>
      <c r="W268" s="766"/>
      <c r="X268" s="766"/>
      <c r="Y268" s="766"/>
      <c r="Z268" s="766"/>
    </row>
    <row r="269" spans="1:41" ht="12.75" customHeight="1" x14ac:dyDescent="0.2">
      <c r="C269" s="104"/>
      <c r="D269" s="704"/>
      <c r="E269" s="704"/>
      <c r="F269" s="704"/>
      <c r="G269" s="704"/>
      <c r="H269" s="704"/>
      <c r="I269" s="704"/>
      <c r="J269" s="704"/>
      <c r="K269" s="704"/>
      <c r="L269" s="704"/>
      <c r="M269" s="704"/>
      <c r="N269" s="704"/>
      <c r="O269" s="704"/>
      <c r="T269" s="767"/>
      <c r="U269" s="767"/>
      <c r="V269" s="767"/>
      <c r="W269" s="767"/>
      <c r="X269" s="767"/>
      <c r="Y269" s="767"/>
      <c r="Z269" s="767"/>
    </row>
    <row r="270" spans="1:41" ht="12.75" customHeight="1" x14ac:dyDescent="0.2">
      <c r="C270" s="104"/>
      <c r="D270" s="704"/>
      <c r="E270" s="704"/>
      <c r="F270" s="704"/>
      <c r="G270" s="704"/>
      <c r="H270" s="704"/>
      <c r="I270" s="704"/>
      <c r="J270" s="704"/>
      <c r="K270" s="704"/>
      <c r="L270" s="704"/>
      <c r="M270" s="704"/>
      <c r="N270" s="704"/>
      <c r="O270" s="704"/>
      <c r="T270" s="767"/>
      <c r="U270" s="767"/>
      <c r="V270" s="767"/>
      <c r="W270" s="767"/>
      <c r="X270" s="767"/>
      <c r="Y270" s="767"/>
      <c r="Z270" s="767"/>
    </row>
    <row r="271" spans="1:41" ht="12.75" customHeight="1" x14ac:dyDescent="0.2">
      <c r="C271" s="104"/>
      <c r="D271" s="704"/>
      <c r="E271" s="704"/>
      <c r="F271" s="704"/>
      <c r="G271" s="704"/>
      <c r="H271" s="704"/>
      <c r="I271" s="704"/>
      <c r="J271" s="704"/>
      <c r="K271" s="704"/>
      <c r="L271" s="704"/>
      <c r="M271" s="704"/>
      <c r="N271" s="704"/>
      <c r="O271" s="704"/>
      <c r="T271" s="767"/>
      <c r="U271" s="767"/>
      <c r="V271" s="767"/>
      <c r="W271" s="767"/>
      <c r="X271" s="767"/>
      <c r="Y271" s="767"/>
      <c r="Z271" s="767"/>
    </row>
    <row r="272" spans="1:41" ht="14.25" x14ac:dyDescent="0.2">
      <c r="C272" s="104"/>
      <c r="D272" s="580"/>
      <c r="E272" s="580"/>
      <c r="F272" s="580"/>
      <c r="G272" s="580"/>
      <c r="H272" s="580"/>
      <c r="I272" s="580"/>
      <c r="J272" s="580"/>
      <c r="K272" s="580"/>
      <c r="L272" s="580"/>
      <c r="M272" s="580"/>
      <c r="N272" s="580"/>
      <c r="O272" s="580"/>
    </row>
    <row r="273" spans="3:26" ht="15" customHeight="1" x14ac:dyDescent="0.25">
      <c r="C273" s="104"/>
      <c r="D273" s="705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5"/>
      <c r="F273" s="705"/>
      <c r="G273" s="705"/>
      <c r="H273" s="705"/>
      <c r="I273" s="705"/>
      <c r="J273" s="705"/>
      <c r="K273" s="705"/>
      <c r="L273" s="705"/>
    </row>
    <row r="274" spans="3:26" x14ac:dyDescent="0.2">
      <c r="C274" s="104"/>
      <c r="D274" s="763"/>
      <c r="E274" s="763"/>
      <c r="F274" s="763"/>
      <c r="G274" s="763"/>
      <c r="H274" s="763"/>
      <c r="I274" s="763"/>
    </row>
    <row r="275" spans="3:26" x14ac:dyDescent="0.2">
      <c r="C275" s="104"/>
      <c r="D275" s="761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1"/>
      <c r="F275" s="761"/>
      <c r="G275" s="761"/>
      <c r="H275" s="761"/>
      <c r="I275" s="761"/>
      <c r="J275" s="761"/>
      <c r="K275" s="761"/>
      <c r="L275" s="761"/>
      <c r="M275" s="761"/>
      <c r="N275" s="761"/>
      <c r="O275" s="761"/>
    </row>
    <row r="276" spans="3:26" ht="39.950000000000003" customHeight="1" x14ac:dyDescent="0.2">
      <c r="C276" s="104"/>
      <c r="E276" s="174" t="str">
        <f>Import.Município</f>
        <v>CÉU AZUL/PR</v>
      </c>
      <c r="J276" s="762"/>
      <c r="K276" s="762"/>
      <c r="L276" s="762"/>
      <c r="M276" s="762"/>
      <c r="N276" s="104"/>
      <c r="O276" s="104"/>
      <c r="W276" s="762"/>
      <c r="X276" s="762"/>
      <c r="Y276" s="762"/>
      <c r="Z276" s="762"/>
    </row>
    <row r="277" spans="3:26" x14ac:dyDescent="0.2">
      <c r="C277" s="104"/>
      <c r="E277" s="12" t="s">
        <v>187</v>
      </c>
      <c r="J277" s="229" t="s">
        <v>301</v>
      </c>
      <c r="K277" s="104"/>
      <c r="L277" s="104"/>
      <c r="M277" s="104"/>
      <c r="N277" s="104"/>
      <c r="O277" s="104"/>
      <c r="W277" s="229" t="s">
        <v>353</v>
      </c>
      <c r="X277" s="104"/>
      <c r="Y277" s="104"/>
      <c r="Z277" s="104"/>
    </row>
    <row r="278" spans="3:26" x14ac:dyDescent="0.2">
      <c r="C278" s="104"/>
      <c r="E278" s="104"/>
      <c r="J278" s="94" t="s">
        <v>107</v>
      </c>
      <c r="K278" s="353">
        <f t="array" ref="K278:K281">Import.RespFiscalização</f>
        <v>0</v>
      </c>
      <c r="L278" s="95"/>
      <c r="M278" s="104"/>
      <c r="N278" s="104"/>
      <c r="O278" s="104"/>
      <c r="W278" s="94" t="s">
        <v>107</v>
      </c>
      <c r="X278" s="760"/>
      <c r="Y278" s="760"/>
      <c r="Z278" s="760"/>
    </row>
    <row r="279" spans="3:26" x14ac:dyDescent="0.2">
      <c r="C279" s="104"/>
      <c r="E279" s="600">
        <f ca="1">DADOS!$F$47</f>
        <v>45208</v>
      </c>
      <c r="J279" s="94" t="s">
        <v>126</v>
      </c>
      <c r="K279" s="353">
        <v>0</v>
      </c>
      <c r="L279" s="95"/>
      <c r="M279" s="104"/>
      <c r="N279" s="104"/>
      <c r="O279" s="104"/>
      <c r="W279" s="94" t="s">
        <v>354</v>
      </c>
      <c r="X279" s="760"/>
      <c r="Y279" s="760"/>
      <c r="Z279" s="760"/>
    </row>
    <row r="280" spans="3:26" x14ac:dyDescent="0.2">
      <c r="C280" s="104"/>
      <c r="E280" s="177" t="s">
        <v>188</v>
      </c>
      <c r="J280" s="94" t="s">
        <v>108</v>
      </c>
      <c r="K280" s="353">
        <v>0</v>
      </c>
      <c r="L280" s="95"/>
      <c r="M280" s="104"/>
      <c r="N280" s="104"/>
      <c r="O280" s="104"/>
      <c r="W280" s="94" t="s">
        <v>108</v>
      </c>
      <c r="X280" s="760"/>
      <c r="Y280" s="760"/>
      <c r="Z280" s="760"/>
    </row>
    <row r="281" spans="3:26" x14ac:dyDescent="0.2">
      <c r="J281" s="94" t="s">
        <v>109</v>
      </c>
      <c r="K281" s="354">
        <v>0</v>
      </c>
      <c r="W281" s="94"/>
      <c r="X281" s="354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M40" sqref="M40:O40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1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2" t="s">
        <v>355</v>
      </c>
      <c r="AE1" s="443" t="s">
        <v>356</v>
      </c>
    </row>
    <row r="2" spans="1:41" x14ac:dyDescent="0.2">
      <c r="AC2" s="444" t="str">
        <f>J25</f>
        <v>Repasse</v>
      </c>
      <c r="AD2" s="445">
        <f ca="1">AD6-AD4-AD3</f>
        <v>0</v>
      </c>
      <c r="AE2" s="445">
        <f ca="1">AE6-AE4-AE3</f>
        <v>0</v>
      </c>
    </row>
    <row r="3" spans="1:41" x14ac:dyDescent="0.2">
      <c r="E3" s="695" t="s">
        <v>146</v>
      </c>
      <c r="F3" s="695"/>
      <c r="G3" s="695"/>
      <c r="H3" s="695"/>
      <c r="I3" s="684" t="s">
        <v>438</v>
      </c>
      <c r="J3" s="684"/>
      <c r="K3" s="684"/>
      <c r="L3" s="111" t="s">
        <v>439</v>
      </c>
      <c r="M3" s="184"/>
      <c r="N3" s="446"/>
      <c r="O3" s="447"/>
      <c r="P3" s="358" t="s">
        <v>209</v>
      </c>
      <c r="R3" s="184"/>
      <c r="S3" s="184"/>
      <c r="T3" s="184"/>
      <c r="U3" s="184"/>
      <c r="AC3" s="444" t="s">
        <v>168</v>
      </c>
      <c r="AD3" s="445">
        <f ca="1">SUM(T13:OFFSET(T24,-1,0))</f>
        <v>0</v>
      </c>
      <c r="AE3" s="445">
        <f ca="1">IF(OR($O$28&lt;$M$28,$M$26&gt;$AD$3),MIN($M$26,$L$26),MIN($AD$3,$N$28-$N$27+$M$26))</f>
        <v>0</v>
      </c>
    </row>
    <row r="4" spans="1:41" ht="12.75" customHeight="1" x14ac:dyDescent="0.2">
      <c r="E4" s="700" t="str">
        <f>Import.Proponente</f>
        <v>MUNICIPIO DE CÉU AZUL</v>
      </c>
      <c r="F4" s="700"/>
      <c r="G4" s="700"/>
      <c r="H4" s="700"/>
      <c r="I4" s="687">
        <f>Import.CR</f>
        <v>0</v>
      </c>
      <c r="J4" s="687"/>
      <c r="K4" s="687"/>
      <c r="L4" s="72">
        <f>Import.SICONV</f>
        <v>0</v>
      </c>
      <c r="M4" s="776" t="s">
        <v>306</v>
      </c>
      <c r="N4" s="777"/>
      <c r="O4" s="778"/>
      <c r="P4" s="448" t="str">
        <f>import.recurso</f>
        <v>(SELECIONAR)</v>
      </c>
      <c r="R4" s="184"/>
      <c r="S4" s="184"/>
      <c r="T4" s="447"/>
      <c r="U4" s="447"/>
      <c r="AC4" s="444" t="s">
        <v>357</v>
      </c>
      <c r="AD4" s="445">
        <f ca="1">SUM(U13:OFFSET(U24,-1,0))</f>
        <v>0</v>
      </c>
      <c r="AE4" s="445">
        <f ca="1">IF(OR($O$28&lt;$M$28,$M$27&gt;$AD$4),MIN($M$27,$L$27),MIN($AD$4,$N$28+$M$27))</f>
        <v>0</v>
      </c>
    </row>
    <row r="5" spans="1:41" ht="5.0999999999999996" customHeight="1" x14ac:dyDescent="0.2">
      <c r="H5" s="361"/>
      <c r="I5" s="361"/>
      <c r="J5" s="361"/>
      <c r="K5" s="361"/>
      <c r="L5" s="361"/>
      <c r="M5" s="449"/>
      <c r="N5" s="345"/>
      <c r="O5" s="59"/>
      <c r="R5" s="184"/>
      <c r="S5" s="184"/>
      <c r="T5" s="184"/>
      <c r="U5" s="184"/>
    </row>
    <row r="6" spans="1:41" ht="12.75" customHeight="1" x14ac:dyDescent="0.2">
      <c r="E6" s="684" t="s">
        <v>201</v>
      </c>
      <c r="F6" s="684"/>
      <c r="G6" s="684"/>
      <c r="H6" s="684"/>
      <c r="I6" s="804" t="s">
        <v>305</v>
      </c>
      <c r="J6" s="804"/>
      <c r="K6" s="804"/>
      <c r="L6" s="804"/>
      <c r="M6" s="71" t="str">
        <f>IF(import.recurso="FGTS","FINANCIAMENTO","REPASSE")</f>
        <v>REPASSE</v>
      </c>
      <c r="N6" s="124" t="s">
        <v>307</v>
      </c>
      <c r="O6" s="71" t="s">
        <v>308</v>
      </c>
      <c r="P6" s="185" t="s">
        <v>358</v>
      </c>
      <c r="R6" s="184"/>
      <c r="S6" s="184"/>
      <c r="T6" s="184"/>
      <c r="U6" s="184"/>
      <c r="AC6" s="444" t="s">
        <v>359</v>
      </c>
      <c r="AD6" s="445">
        <f ca="1">$O$28</f>
        <v>0</v>
      </c>
      <c r="AE6" s="445">
        <f ca="1">AD6</f>
        <v>0</v>
      </c>
    </row>
    <row r="7" spans="1:41" ht="12.75" customHeight="1" x14ac:dyDescent="0.2">
      <c r="D7" s="677" t="s">
        <v>208</v>
      </c>
      <c r="E7" s="687" t="str">
        <f>Import.Apelido</f>
        <v>PAÇO MUNICIPAL</v>
      </c>
      <c r="F7" s="687"/>
      <c r="G7" s="687"/>
      <c r="H7" s="687"/>
      <c r="I7" s="801" t="str">
        <f>Import.Município</f>
        <v>CÉU AZUL/PR</v>
      </c>
      <c r="J7" s="801"/>
      <c r="K7" s="801"/>
      <c r="L7" s="801"/>
      <c r="M7" s="450">
        <f>Import.Repasse</f>
        <v>0</v>
      </c>
      <c r="N7" s="451">
        <f>Import.Contrapartida</f>
        <v>0</v>
      </c>
      <c r="O7" s="450">
        <f>M7+N7</f>
        <v>0</v>
      </c>
      <c r="P7" s="541">
        <f ca="1">IF(ACOMPANHAMENTO="PLE",PLE.Medicao,BM.medicao)</f>
        <v>1</v>
      </c>
      <c r="R7" s="184"/>
      <c r="S7" s="184"/>
      <c r="T7" s="184"/>
      <c r="U7" s="184"/>
    </row>
    <row r="8" spans="1:41" x14ac:dyDescent="0.2">
      <c r="D8" s="677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R8" s="184"/>
      <c r="S8" s="184"/>
      <c r="T8" s="184"/>
      <c r="U8" s="184"/>
    </row>
    <row r="9" spans="1:41" ht="12.75" customHeight="1" x14ac:dyDescent="0.2">
      <c r="D9" s="677"/>
      <c r="G9" s="802" t="s">
        <v>360</v>
      </c>
      <c r="H9" s="802"/>
      <c r="I9" s="802" t="s">
        <v>361</v>
      </c>
      <c r="J9" s="802"/>
      <c r="K9" s="452"/>
      <c r="L9" s="803" t="s">
        <v>312</v>
      </c>
      <c r="M9" s="453" t="s">
        <v>315</v>
      </c>
      <c r="N9" s="362" t="s">
        <v>237</v>
      </c>
      <c r="P9" s="454"/>
      <c r="R9" s="184"/>
      <c r="S9" s="184"/>
      <c r="T9" s="184"/>
      <c r="U9" s="184"/>
      <c r="V9" s="9" t="s">
        <v>362</v>
      </c>
    </row>
    <row r="10" spans="1:41" ht="12.75" customHeight="1" x14ac:dyDescent="0.2">
      <c r="D10" s="677"/>
      <c r="G10" s="689" t="str">
        <f ca="1">IF(J10="-","-",IF($P$24&lt;J10,"Atrasada",IF($P$24&gt;J10,"Adiantada","Normal")))</f>
        <v>Normal</v>
      </c>
      <c r="H10" s="689"/>
      <c r="I10" s="455">
        <f>DATE(YEAR($L$35),MONTH($L$35),1)</f>
        <v>45139</v>
      </c>
      <c r="J10" s="456">
        <f>IF($I$10&lt;DATE(YEAR(CRONO!$T$13),MONTH(CRONO!$T$13),1),0,IF($I$10&gt;CRONO!$AE$13,1,INDEX(CRONO!$S$170:$AG$170,MATCH(RRE!$I$10,CRONO!$S$13:$AG$13,0))))</f>
        <v>0</v>
      </c>
      <c r="K10" s="452"/>
      <c r="L10" s="803"/>
      <c r="M10" s="457">
        <f ca="1">QCI!L10</f>
        <v>0</v>
      </c>
      <c r="N10" s="364">
        <f ca="1">QCI!M10</f>
        <v>-192352.07</v>
      </c>
      <c r="P10" s="454"/>
      <c r="R10" s="184"/>
      <c r="S10" s="184"/>
      <c r="T10" s="184"/>
      <c r="U10" s="184"/>
      <c r="AC10" s="798" t="s">
        <v>363</v>
      </c>
      <c r="AD10" s="798"/>
      <c r="AE10" s="798"/>
      <c r="AF10" s="798"/>
      <c r="AG10" s="798"/>
      <c r="AH10" s="798"/>
      <c r="AJ10" s="798" t="s">
        <v>4</v>
      </c>
      <c r="AK10" s="798"/>
      <c r="AL10" s="798"/>
      <c r="AM10" s="798"/>
      <c r="AN10" s="798"/>
      <c r="AO10" s="798"/>
    </row>
    <row r="11" spans="1:41" ht="20.100000000000001" customHeight="1" x14ac:dyDescent="0.2">
      <c r="D11" s="677"/>
      <c r="M11" s="589" t="str">
        <f>IF(CAIXA.Modo,"Valores Aferidos (R$)","Valores Medidos (R$)")</f>
        <v>Valores Medidos (R$)</v>
      </c>
      <c r="N11" s="589"/>
      <c r="O11" s="589"/>
      <c r="R11" s="458"/>
      <c r="S11" s="458"/>
      <c r="T11" s="589"/>
      <c r="U11" s="589"/>
      <c r="V11" s="586" t="s">
        <v>408</v>
      </c>
      <c r="Y11" s="799" t="str">
        <f>IF(CAIXA.Modo,"Valores Aferidos (R$)","Valores Medidos (R$)")</f>
        <v>Valores Medidos (R$)</v>
      </c>
      <c r="Z11" s="799"/>
      <c r="AC11" s="800" t="s">
        <v>364</v>
      </c>
      <c r="AD11" s="800"/>
      <c r="AE11" s="800"/>
      <c r="AF11" s="800" t="s">
        <v>365</v>
      </c>
      <c r="AG11" s="800"/>
      <c r="AH11" s="800"/>
      <c r="AJ11" s="800" t="s">
        <v>364</v>
      </c>
      <c r="AK11" s="800"/>
      <c r="AL11" s="800"/>
      <c r="AM11" s="800" t="s">
        <v>365</v>
      </c>
      <c r="AN11" s="800"/>
      <c r="AO11" s="800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0">
        <f>QCI!D12</f>
        <v>-1</v>
      </c>
      <c r="F12" s="461" t="str">
        <f ca="1">QCI!G12</f>
        <v/>
      </c>
      <c r="G12" s="462">
        <f>QCI!H12</f>
        <v>0</v>
      </c>
      <c r="H12" s="463">
        <f>QCI!I12</f>
        <v>0</v>
      </c>
      <c r="I12" s="464" t="str">
        <f ca="1">QCI!J12</f>
        <v/>
      </c>
      <c r="J12" s="465" t="str">
        <f ca="1">QCI!K12</f>
        <v/>
      </c>
      <c r="K12" s="466" t="str">
        <f ca="1">IF($C12="Automático",IF(ACOMPANHAMENTO="BM",BM.medicao,PLE.Medicao),IF(ISBLANK($X12),"",$X12))</f>
        <v/>
      </c>
      <c r="L12" s="467">
        <f ca="1">QCI!$O12</f>
        <v>0</v>
      </c>
      <c r="M12" s="469">
        <f ca="1">ROUND(IF(C12="Automático",AE12+AL12,Y12),2)</f>
        <v>0</v>
      </c>
      <c r="N12" s="470">
        <f ca="1">O12-M12</f>
        <v>0</v>
      </c>
      <c r="O12" s="471">
        <f ca="1">ROUND(IF(C12="Automático",AH12+AO12,Z12),2)</f>
        <v>0</v>
      </c>
      <c r="P12" s="472">
        <f ca="1">O12/(L12+10^-12)</f>
        <v>0</v>
      </c>
      <c r="R12" s="468">
        <f ca="1">ROUND(IF($C12="Automático",AC12+AJ12,$Y12*IF(ISERROR(QCI!$AA12/QCI!$O12),0,QCI!$AA12/QCI!$O12)),2)</f>
        <v>0</v>
      </c>
      <c r="S12" s="468">
        <f ca="1">ROUND(IF($C12="Automático",AD12+AK12,$Y12*IF(ISERROR(QCI!$AB12/QCI!$O12),0,QCI!$AB12/QCI!$O12)),2)</f>
        <v>0</v>
      </c>
      <c r="T12" s="468">
        <f ca="1">ROUND(IF($C12="Automático",AF12+AM12,$Z12*IF(ISERROR(QCI!$AA12/QCI!$O12),0,QCI!$AA12/QCI!$O12)),2)</f>
        <v>0</v>
      </c>
      <c r="U12" s="468">
        <f ca="1">ROUND(IF($C12="Automático",AG12+AN12,$Z12*IF(ISERROR(QCI!$AB12/QCI!$O12),0,QCI!$AB12/QCI!$O12)),2)</f>
        <v>0</v>
      </c>
      <c r="V12" s="587" t="str">
        <f ca="1">IF(AND($L12&gt;0,$J12&lt;&gt;0,$J12&lt;&gt;"",COUNTIF($J12:$J$13,$J12)=1),OFFSET(V12,-1,0)+1,OFFSET(V12,-1,0))</f>
        <v>Lista CTEFs</v>
      </c>
      <c r="X12" s="372"/>
      <c r="Y12" s="373"/>
      <c r="Z12" s="375"/>
      <c r="AC12" s="233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3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3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3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3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3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3" t="e">
        <f ca="1">IF(ACOMPANHAMENTO&lt;&gt;"BM",0,SUMPRODUCT(OFFSET(BM!$M$15,$A12,0,$B12)*(OFFSET(BM!$A$15,$A12,0,$B12)="S")*OFFSET(ORÇAMENTO!AA$15,$A12,0,$B12)/(OFFSET(ORÇAMENTO!$X$15,$A12,0,$B12)+10^-12)))</f>
        <v>#N/A</v>
      </c>
      <c r="AK12" s="233" t="e">
        <f ca="1">IF(ACOMPANHAMENTO&lt;&gt;"BM",0,SUMPRODUCT(OFFSET(BM!$M$15,$A12,0,$B12)*(OFFSET(BM!$A$15,$A12,0,$B12)="S")*OFFSET(ORÇAMENTO!AB$15,$A12,0,$B12)/(OFFSET(ORÇAMENTO!$X$15,$A12,0,$B12)+10^-12)))</f>
        <v>#N/A</v>
      </c>
      <c r="AL12" s="233" t="e">
        <f ca="1">IF(ACOMPANHAMENTO&lt;&gt;"BM",0,OFFSET(BM!$M$15,$A12,0))</f>
        <v>#N/A</v>
      </c>
      <c r="AM12" s="233" t="e">
        <f ca="1">IF(ACOMPANHAMENTO&lt;&gt;"BM",0,SUMPRODUCT(OFFSET(BM!$O$15,$A12,0,$B12)*(OFFSET(BM!$A$15,$A12,0,$B12)="S")*OFFSET(ORÇAMENTO!AA$15,$A12,0,$B12)/(OFFSET(ORÇAMENTO!$X$15,$A12,0,$B12)+10^-12)))</f>
        <v>#N/A</v>
      </c>
      <c r="AN12" s="233" t="e">
        <f ca="1">IF(ACOMPANHAMENTO&lt;&gt;"BM",0,SUMPRODUCT(OFFSET(BM!$O$15,$A12,0,$B12)*(OFFSET(BM!$A$15,$A12,0,$B12)="S")*OFFSET(ORÇAMENTO!AB$15,$A12,0,$B12)/(OFFSET(ORÇAMENTO!$X$15,$A12,0,$B12)+10^-12)))</f>
        <v>#N/A</v>
      </c>
      <c r="AO12" s="233" t="e">
        <f ca="1">IF(ACOMPANHAMENTO&lt;&gt;"BM",0,OFFSET(BM!$O$15,$A12,0))</f>
        <v>#N/A</v>
      </c>
    </row>
    <row r="13" spans="1:41" ht="39.950000000000003" customHeight="1" x14ac:dyDescent="0.2">
      <c r="A13" s="379" t="s">
        <v>366</v>
      </c>
      <c r="B13" s="12" t="s">
        <v>220</v>
      </c>
      <c r="C13" s="379" t="s">
        <v>317</v>
      </c>
      <c r="D13" s="135" t="s">
        <v>216</v>
      </c>
      <c r="E13" s="136" t="s">
        <v>194</v>
      </c>
      <c r="F13" s="136" t="s">
        <v>320</v>
      </c>
      <c r="G13" s="136" t="s">
        <v>160</v>
      </c>
      <c r="H13" s="136" t="s">
        <v>202</v>
      </c>
      <c r="I13" s="136" t="s">
        <v>321</v>
      </c>
      <c r="J13" s="136" t="s">
        <v>322</v>
      </c>
      <c r="K13" s="380" t="s">
        <v>367</v>
      </c>
      <c r="L13" s="136" t="s">
        <v>368</v>
      </c>
      <c r="M13" s="380" t="s">
        <v>364</v>
      </c>
      <c r="N13" s="381" t="s">
        <v>371</v>
      </c>
      <c r="O13" s="382" t="s">
        <v>365</v>
      </c>
      <c r="P13" s="136" t="s">
        <v>374</v>
      </c>
      <c r="R13" s="473" t="s">
        <v>369</v>
      </c>
      <c r="S13" s="473" t="s">
        <v>370</v>
      </c>
      <c r="T13" s="473" t="s">
        <v>372</v>
      </c>
      <c r="U13" s="473" t="s">
        <v>373</v>
      </c>
      <c r="V13" s="588"/>
      <c r="X13" s="380" t="s">
        <v>367</v>
      </c>
      <c r="Y13" s="201" t="s">
        <v>364</v>
      </c>
      <c r="Z13" s="202" t="s">
        <v>365</v>
      </c>
      <c r="AC13" s="459" t="s">
        <v>168</v>
      </c>
      <c r="AD13" s="459" t="s">
        <v>357</v>
      </c>
      <c r="AE13" s="459" t="s">
        <v>359</v>
      </c>
      <c r="AF13" s="459" t="s">
        <v>168</v>
      </c>
      <c r="AG13" s="459" t="s">
        <v>357</v>
      </c>
      <c r="AH13" s="459" t="s">
        <v>359</v>
      </c>
      <c r="AJ13" s="459" t="s">
        <v>168</v>
      </c>
      <c r="AK13" s="459" t="s">
        <v>357</v>
      </c>
      <c r="AL13" s="459" t="s">
        <v>359</v>
      </c>
      <c r="AM13" s="459" t="s">
        <v>168</v>
      </c>
      <c r="AN13" s="459" t="s">
        <v>357</v>
      </c>
      <c r="AO13" s="459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0">
        <f>QCI!D14</f>
        <v>1</v>
      </c>
      <c r="F14" s="461" t="str">
        <f ca="1">QCI!G14</f>
        <v>(REFORMA DO PREDIO PREFEITURA MUNICIPAL</v>
      </c>
      <c r="G14" s="462">
        <f>QCI!H14</f>
        <v>0</v>
      </c>
      <c r="H14" s="463">
        <f>QCI!I14</f>
        <v>0</v>
      </c>
      <c r="I14" s="464" t="str">
        <f ca="1">QCI!J14</f>
        <v/>
      </c>
      <c r="J14" s="465" t="str">
        <f ca="1">QCI!K14</f>
        <v>LOTE 1</v>
      </c>
      <c r="K14" s="466">
        <f t="shared" ref="K14:K23" ca="1" si="1">IF($C14="Automático",IF(ACOMPANHAMENTO="BM",BM.medicao,PLE.Medicao),IF(ISBLANK($X14),"",$X14))</f>
        <v>1</v>
      </c>
      <c r="L14" s="467">
        <f ca="1">QCI!$O14</f>
        <v>192352.07</v>
      </c>
      <c r="M14" s="469">
        <f t="shared" ref="M14:M22" ca="1" si="2">ROUND(IF(C14="Automático",AE14+AL14,Y14),2)</f>
        <v>0</v>
      </c>
      <c r="N14" s="470">
        <f t="shared" ref="N14:N22" ca="1" si="3">O14-M14</f>
        <v>0</v>
      </c>
      <c r="O14" s="471">
        <f t="shared" ref="O14:O22" ca="1" si="4">ROUND(IF(C14="Automático",AH14+AO14,Z14),2)</f>
        <v>0</v>
      </c>
      <c r="P14" s="472">
        <f t="shared" ref="P14:P22" ca="1" si="5">O14/(L14+10^-12)</f>
        <v>0</v>
      </c>
      <c r="R14" s="468">
        <f ca="1">ROUND(IF($C14="Automático",AC14+AJ14,$Y14*IF(ISERROR(QCI!$AA14/QCI!$O14),0,QCI!$AA14/QCI!$O14)),2)</f>
        <v>0</v>
      </c>
      <c r="S14" s="468">
        <f ca="1">ROUND(IF($C14="Automático",AD14+AK14,$Y14*IF(ISERROR(QCI!$AB14/QCI!$O14),0,QCI!$AB14/QCI!$O14)),2)</f>
        <v>0</v>
      </c>
      <c r="T14" s="468">
        <f ca="1">ROUND(IF($C14="Automático",AF14+AM14,$Z14*IF(ISERROR(QCI!$AA14/QCI!$O14),0,QCI!$AA14/QCI!$O14)),2)</f>
        <v>0</v>
      </c>
      <c r="U14" s="468">
        <f ca="1">ROUND(IF($C14="Automático",AG14+AN14,$Z14*IF(ISERROR(QCI!$AB14/QCI!$O14),0,QCI!$AB14/QCI!$O14)),2)</f>
        <v>0</v>
      </c>
      <c r="V14" s="587">
        <f ca="1">IF(AND($L14&gt;0,$J14&lt;&gt;0,$J14&lt;&gt;"",COUNTIF($J$13:$J14,$J14)=1),OFFSET(V14,-1,0)+1,OFFSET(V14,-1,0))</f>
        <v>1</v>
      </c>
      <c r="X14" s="372"/>
      <c r="Y14" s="373"/>
      <c r="Z14" s="375"/>
      <c r="AC14" s="233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3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3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3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3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3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3">
        <f ca="1">IF(ACOMPANHAMENTO&lt;&gt;"BM",0,SUMPRODUCT(OFFSET(BM!$M$15,$A14,0,$B14)*(OFFSET(BM!$A$15,$A14,0,$B14)="S")*OFFSET(ORÇAMENTO!AA$15,$A14,0,$B14)/(OFFSET(ORÇAMENTO!$X$15,$A14,0,$B14)+10^-12)))</f>
        <v>0</v>
      </c>
      <c r="AK14" s="233">
        <f ca="1">IF(ACOMPANHAMENTO&lt;&gt;"BM",0,SUMPRODUCT(OFFSET(BM!$M$15,$A14,0,$B14)*(OFFSET(BM!$A$15,$A14,0,$B14)="S")*OFFSET(ORÇAMENTO!AB$15,$A14,0,$B14)/(OFFSET(ORÇAMENTO!$X$15,$A14,0,$B14)+10^-12)))</f>
        <v>0</v>
      </c>
      <c r="AL14" s="233">
        <f ca="1">IF(ACOMPANHAMENTO&lt;&gt;"BM",0,OFFSET(BM!$M$15,$A14,0))</f>
        <v>0</v>
      </c>
      <c r="AM14" s="233">
        <f ca="1">IF(ACOMPANHAMENTO&lt;&gt;"BM",0,SUMPRODUCT(OFFSET(BM!$O$15,$A14,0,$B14)*(OFFSET(BM!$A$15,$A14,0,$B14)="S")*OFFSET(ORÇAMENTO!AA$15,$A14,0,$B14)/(OFFSET(ORÇAMENTO!$X$15,$A14,0,$B14)+10^-12)))</f>
        <v>0</v>
      </c>
      <c r="AN14" s="233">
        <f ca="1">IF(ACOMPANHAMENTO&lt;&gt;"BM",0,SUMPRODUCT(OFFSET(BM!$O$15,$A14,0,$B14)*(OFFSET(BM!$A$15,$A14,0,$B14)="S")*OFFSET(ORÇAMENTO!AB$15,$A14,0,$B14)/(OFFSET(ORÇAMENTO!$X$15,$A14,0,$B14)+10^-12)))</f>
        <v>0</v>
      </c>
      <c r="AO14" s="233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0">
        <f>QCI!D15</f>
        <v>2</v>
      </c>
      <c r="F15" s="461" t="str">
        <f ca="1">QCI!G15</f>
        <v/>
      </c>
      <c r="G15" s="462">
        <f>QCI!H15</f>
        <v>0</v>
      </c>
      <c r="H15" s="463">
        <f>QCI!I15</f>
        <v>0</v>
      </c>
      <c r="I15" s="464" t="str">
        <f ca="1">QCI!J15</f>
        <v/>
      </c>
      <c r="J15" s="465" t="str">
        <f ca="1">QCI!K15</f>
        <v/>
      </c>
      <c r="K15" s="466" t="str">
        <f t="shared" ca="1" si="1"/>
        <v/>
      </c>
      <c r="L15" s="467">
        <f ca="1">QCI!$O15</f>
        <v>0</v>
      </c>
      <c r="M15" s="469">
        <f t="shared" ca="1" si="2"/>
        <v>0</v>
      </c>
      <c r="N15" s="470">
        <f t="shared" ca="1" si="3"/>
        <v>0</v>
      </c>
      <c r="O15" s="471">
        <f t="shared" ca="1" si="4"/>
        <v>0</v>
      </c>
      <c r="P15" s="472">
        <f t="shared" ca="1" si="5"/>
        <v>0</v>
      </c>
      <c r="R15" s="468">
        <f ca="1">ROUND(IF($C15="Automático",AC15+AJ15,$Y15*IF(ISERROR(QCI!$AA15/QCI!$O15),0,QCI!$AA15/QCI!$O15)),2)</f>
        <v>0</v>
      </c>
      <c r="S15" s="468">
        <f ca="1">ROUND(IF($C15="Automático",AD15+AK15,$Y15*IF(ISERROR(QCI!$AB15/QCI!$O15),0,QCI!$AB15/QCI!$O15)),2)</f>
        <v>0</v>
      </c>
      <c r="T15" s="468">
        <f ca="1">ROUND(IF($C15="Automático",AF15+AM15,$Z15*IF(ISERROR(QCI!$AA15/QCI!$O15),0,QCI!$AA15/QCI!$O15)),2)</f>
        <v>0</v>
      </c>
      <c r="U15" s="468">
        <f ca="1">ROUND(IF($C15="Automático",AG15+AN15,$Z15*IF(ISERROR(QCI!$AB15/QCI!$O15),0,QCI!$AB15/QCI!$O15)),2)</f>
        <v>0</v>
      </c>
      <c r="V15" s="587">
        <f ca="1">IF(AND($L15&gt;0,$J15&lt;&gt;0,$J15&lt;&gt;"",COUNTIF($J$13:$J15,$J15)=1),OFFSET(V15,-1,0)+1,OFFSET(V15,-1,0))</f>
        <v>1</v>
      </c>
      <c r="X15" s="372"/>
      <c r="Y15" s="373"/>
      <c r="Z15" s="375"/>
      <c r="AC15" s="233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3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3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3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3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3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3" t="e">
        <f ca="1">IF(ACOMPANHAMENTO&lt;&gt;"BM",0,SUMPRODUCT(OFFSET(BM!$M$15,$A15,0,$B15)*(OFFSET(BM!$A$15,$A15,0,$B15)="S")*OFFSET(ORÇAMENTO!AA$15,$A15,0,$B15)/(OFFSET(ORÇAMENTO!$X$15,$A15,0,$B15)+10^-12)))</f>
        <v>#N/A</v>
      </c>
      <c r="AK15" s="233" t="e">
        <f ca="1">IF(ACOMPANHAMENTO&lt;&gt;"BM",0,SUMPRODUCT(OFFSET(BM!$M$15,$A15,0,$B15)*(OFFSET(BM!$A$15,$A15,0,$B15)="S")*OFFSET(ORÇAMENTO!AB$15,$A15,0,$B15)/(OFFSET(ORÇAMENTO!$X$15,$A15,0,$B15)+10^-12)))</f>
        <v>#N/A</v>
      </c>
      <c r="AL15" s="233" t="e">
        <f ca="1">IF(ACOMPANHAMENTO&lt;&gt;"BM",0,OFFSET(BM!$M$15,$A15,0))</f>
        <v>#N/A</v>
      </c>
      <c r="AM15" s="233" t="e">
        <f ca="1">IF(ACOMPANHAMENTO&lt;&gt;"BM",0,SUMPRODUCT(OFFSET(BM!$O$15,$A15,0,$B15)*(OFFSET(BM!$A$15,$A15,0,$B15)="S")*OFFSET(ORÇAMENTO!AA$15,$A15,0,$B15)/(OFFSET(ORÇAMENTO!$X$15,$A15,0,$B15)+10^-12)))</f>
        <v>#N/A</v>
      </c>
      <c r="AN15" s="233" t="e">
        <f ca="1">IF(ACOMPANHAMENTO&lt;&gt;"BM",0,SUMPRODUCT(OFFSET(BM!$O$15,$A15,0,$B15)*(OFFSET(BM!$A$15,$A15,0,$B15)="S")*OFFSET(ORÇAMENTO!AB$15,$A15,0,$B15)/(OFFSET(ORÇAMENTO!$X$15,$A15,0,$B15)+10^-12)))</f>
        <v>#N/A</v>
      </c>
      <c r="AO15" s="233" t="e">
        <f ca="1">IF(ACOMPANHAMENTO&lt;&gt;"BM",0,OFFSET(BM!$O$15,$A15,0))</f>
        <v>#N/A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0">
        <f>QCI!D16</f>
        <v>3</v>
      </c>
      <c r="F16" s="461" t="str">
        <f ca="1">QCI!G16</f>
        <v/>
      </c>
      <c r="G16" s="462">
        <f>QCI!H16</f>
        <v>0</v>
      </c>
      <c r="H16" s="463">
        <f>QCI!I16</f>
        <v>0</v>
      </c>
      <c r="I16" s="464" t="str">
        <f ca="1">QCI!J16</f>
        <v/>
      </c>
      <c r="J16" s="465" t="str">
        <f ca="1">QCI!K16</f>
        <v/>
      </c>
      <c r="K16" s="466" t="str">
        <f t="shared" ca="1" si="1"/>
        <v/>
      </c>
      <c r="L16" s="467">
        <f ca="1">QCI!$O16</f>
        <v>0</v>
      </c>
      <c r="M16" s="469">
        <f t="shared" ca="1" si="2"/>
        <v>0</v>
      </c>
      <c r="N16" s="470">
        <f t="shared" ca="1" si="3"/>
        <v>0</v>
      </c>
      <c r="O16" s="471">
        <f t="shared" ca="1" si="4"/>
        <v>0</v>
      </c>
      <c r="P16" s="472">
        <f t="shared" ca="1" si="5"/>
        <v>0</v>
      </c>
      <c r="R16" s="468">
        <f ca="1">ROUND(IF($C16="Automático",AC16+AJ16,$Y16*IF(ISERROR(QCI!$AA16/QCI!$O16),0,QCI!$AA16/QCI!$O16)),2)</f>
        <v>0</v>
      </c>
      <c r="S16" s="468">
        <f ca="1">ROUND(IF($C16="Automático",AD16+AK16,$Y16*IF(ISERROR(QCI!$AB16/QCI!$O16),0,QCI!$AB16/QCI!$O16)),2)</f>
        <v>0</v>
      </c>
      <c r="T16" s="468">
        <f ca="1">ROUND(IF($C16="Automático",AF16+AM16,$Z16*IF(ISERROR(QCI!$AA16/QCI!$O16),0,QCI!$AA16/QCI!$O16)),2)</f>
        <v>0</v>
      </c>
      <c r="U16" s="468">
        <f ca="1">ROUND(IF($C16="Automático",AG16+AN16,$Z16*IF(ISERROR(QCI!$AB16/QCI!$O16),0,QCI!$AB16/QCI!$O16)),2)</f>
        <v>0</v>
      </c>
      <c r="V16" s="587">
        <f ca="1">IF(AND($L16&gt;0,$J16&lt;&gt;0,$J16&lt;&gt;"",COUNTIF($J$13:$J16,$J16)=1),OFFSET(V16,-1,0)+1,OFFSET(V16,-1,0))</f>
        <v>1</v>
      </c>
      <c r="X16" s="372"/>
      <c r="Y16" s="373"/>
      <c r="Z16" s="375"/>
      <c r="AC16" s="233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3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3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3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3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3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3" t="e">
        <f ca="1">IF(ACOMPANHAMENTO&lt;&gt;"BM",0,SUMPRODUCT(OFFSET(BM!$M$15,$A16,0,$B16)*(OFFSET(BM!$A$15,$A16,0,$B16)="S")*OFFSET(ORÇAMENTO!AA$15,$A16,0,$B16)/(OFFSET(ORÇAMENTO!$X$15,$A16,0,$B16)+10^-12)))</f>
        <v>#N/A</v>
      </c>
      <c r="AK16" s="233" t="e">
        <f ca="1">IF(ACOMPANHAMENTO&lt;&gt;"BM",0,SUMPRODUCT(OFFSET(BM!$M$15,$A16,0,$B16)*(OFFSET(BM!$A$15,$A16,0,$B16)="S")*OFFSET(ORÇAMENTO!AB$15,$A16,0,$B16)/(OFFSET(ORÇAMENTO!$X$15,$A16,0,$B16)+10^-12)))</f>
        <v>#N/A</v>
      </c>
      <c r="AL16" s="233" t="e">
        <f ca="1">IF(ACOMPANHAMENTO&lt;&gt;"BM",0,OFFSET(BM!$M$15,$A16,0))</f>
        <v>#N/A</v>
      </c>
      <c r="AM16" s="233" t="e">
        <f ca="1">IF(ACOMPANHAMENTO&lt;&gt;"BM",0,SUMPRODUCT(OFFSET(BM!$O$15,$A16,0,$B16)*(OFFSET(BM!$A$15,$A16,0,$B16)="S")*OFFSET(ORÇAMENTO!AA$15,$A16,0,$B16)/(OFFSET(ORÇAMENTO!$X$15,$A16,0,$B16)+10^-12)))</f>
        <v>#N/A</v>
      </c>
      <c r="AN16" s="233" t="e">
        <f ca="1">IF(ACOMPANHAMENTO&lt;&gt;"BM",0,SUMPRODUCT(OFFSET(BM!$O$15,$A16,0,$B16)*(OFFSET(BM!$A$15,$A16,0,$B16)="S")*OFFSET(ORÇAMENTO!AB$15,$A16,0,$B16)/(OFFSET(ORÇAMENTO!$X$15,$A16,0,$B16)+10^-12)))</f>
        <v>#N/A</v>
      </c>
      <c r="AO16" s="233" t="e">
        <f ca="1">IF(ACOMPANHAMENTO&lt;&gt;"BM",0,OFFSET(BM!$O$15,$A16,0))</f>
        <v>#N/A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0">
        <f>QCI!D17</f>
        <v>4</v>
      </c>
      <c r="F17" s="461" t="str">
        <f ca="1">QCI!G17</f>
        <v/>
      </c>
      <c r="G17" s="462">
        <f>QCI!H17</f>
        <v>0</v>
      </c>
      <c r="H17" s="463">
        <f>QCI!I17</f>
        <v>0</v>
      </c>
      <c r="I17" s="464" t="str">
        <f ca="1">QCI!J17</f>
        <v/>
      </c>
      <c r="J17" s="465" t="str">
        <f ca="1">QCI!K17</f>
        <v/>
      </c>
      <c r="K17" s="466" t="str">
        <f t="shared" ca="1" si="1"/>
        <v/>
      </c>
      <c r="L17" s="467">
        <f ca="1">QCI!$O17</f>
        <v>0</v>
      </c>
      <c r="M17" s="469">
        <f t="shared" ca="1" si="2"/>
        <v>0</v>
      </c>
      <c r="N17" s="470">
        <f t="shared" ca="1" si="3"/>
        <v>0</v>
      </c>
      <c r="O17" s="471">
        <f t="shared" ca="1" si="4"/>
        <v>0</v>
      </c>
      <c r="P17" s="472">
        <f t="shared" ca="1" si="5"/>
        <v>0</v>
      </c>
      <c r="R17" s="468">
        <f ca="1">ROUND(IF($C17="Automático",AC17+AJ17,$Y17*IF(ISERROR(QCI!$AA17/QCI!$O17),0,QCI!$AA17/QCI!$O17)),2)</f>
        <v>0</v>
      </c>
      <c r="S17" s="468">
        <f ca="1">ROUND(IF($C17="Automático",AD17+AK17,$Y17*IF(ISERROR(QCI!$AB17/QCI!$O17),0,QCI!$AB17/QCI!$O17)),2)</f>
        <v>0</v>
      </c>
      <c r="T17" s="468">
        <f ca="1">ROUND(IF($C17="Automático",AF17+AM17,$Z17*IF(ISERROR(QCI!$AA17/QCI!$O17),0,QCI!$AA17/QCI!$O17)),2)</f>
        <v>0</v>
      </c>
      <c r="U17" s="468">
        <f ca="1">ROUND(IF($C17="Automático",AG17+AN17,$Z17*IF(ISERROR(QCI!$AB17/QCI!$O17),0,QCI!$AB17/QCI!$O17)),2)</f>
        <v>0</v>
      </c>
      <c r="V17" s="587">
        <f ca="1">IF(AND($L17&gt;0,$J17&lt;&gt;0,$J17&lt;&gt;"",COUNTIF($J$13:$J17,$J17)=1),OFFSET(V17,-1,0)+1,OFFSET(V17,-1,0))</f>
        <v>1</v>
      </c>
      <c r="X17" s="372"/>
      <c r="Y17" s="373"/>
      <c r="Z17" s="375"/>
      <c r="AC17" s="233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3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3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3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3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3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3" t="e">
        <f ca="1">IF(ACOMPANHAMENTO&lt;&gt;"BM",0,SUMPRODUCT(OFFSET(BM!$M$15,$A17,0,$B17)*(OFFSET(BM!$A$15,$A17,0,$B17)="S")*OFFSET(ORÇAMENTO!AA$15,$A17,0,$B17)/(OFFSET(ORÇAMENTO!$X$15,$A17,0,$B17)+10^-12)))</f>
        <v>#N/A</v>
      </c>
      <c r="AK17" s="233" t="e">
        <f ca="1">IF(ACOMPANHAMENTO&lt;&gt;"BM",0,SUMPRODUCT(OFFSET(BM!$M$15,$A17,0,$B17)*(OFFSET(BM!$A$15,$A17,0,$B17)="S")*OFFSET(ORÇAMENTO!AB$15,$A17,0,$B17)/(OFFSET(ORÇAMENTO!$X$15,$A17,0,$B17)+10^-12)))</f>
        <v>#N/A</v>
      </c>
      <c r="AL17" s="233" t="e">
        <f ca="1">IF(ACOMPANHAMENTO&lt;&gt;"BM",0,OFFSET(BM!$M$15,$A17,0))</f>
        <v>#N/A</v>
      </c>
      <c r="AM17" s="233" t="e">
        <f ca="1">IF(ACOMPANHAMENTO&lt;&gt;"BM",0,SUMPRODUCT(OFFSET(BM!$O$15,$A17,0,$B17)*(OFFSET(BM!$A$15,$A17,0,$B17)="S")*OFFSET(ORÇAMENTO!AA$15,$A17,0,$B17)/(OFFSET(ORÇAMENTO!$X$15,$A17,0,$B17)+10^-12)))</f>
        <v>#N/A</v>
      </c>
      <c r="AN17" s="233" t="e">
        <f ca="1">IF(ACOMPANHAMENTO&lt;&gt;"BM",0,SUMPRODUCT(OFFSET(BM!$O$15,$A17,0,$B17)*(OFFSET(BM!$A$15,$A17,0,$B17)="S")*OFFSET(ORÇAMENTO!AB$15,$A17,0,$B17)/(OFFSET(ORÇAMENTO!$X$15,$A17,0,$B17)+10^-12)))</f>
        <v>#N/A</v>
      </c>
      <c r="AO17" s="233" t="e">
        <f ca="1">IF(ACOMPANHAMENTO&lt;&gt;"BM",0,OFFSET(BM!$O$15,$A17,0))</f>
        <v>#N/A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0">
        <f>QCI!D18</f>
        <v>5</v>
      </c>
      <c r="F18" s="461" t="str">
        <f ca="1">QCI!G18</f>
        <v/>
      </c>
      <c r="G18" s="462">
        <f>QCI!H18</f>
        <v>0</v>
      </c>
      <c r="H18" s="463">
        <f>QCI!I18</f>
        <v>0</v>
      </c>
      <c r="I18" s="464" t="str">
        <f ca="1">QCI!J18</f>
        <v/>
      </c>
      <c r="J18" s="465" t="str">
        <f ca="1">QCI!K18</f>
        <v/>
      </c>
      <c r="K18" s="466" t="str">
        <f t="shared" ca="1" si="1"/>
        <v/>
      </c>
      <c r="L18" s="467">
        <f ca="1">QCI!$O18</f>
        <v>0</v>
      </c>
      <c r="M18" s="469">
        <f t="shared" ca="1" si="2"/>
        <v>0</v>
      </c>
      <c r="N18" s="470">
        <f t="shared" ca="1" si="3"/>
        <v>0</v>
      </c>
      <c r="O18" s="471">
        <f t="shared" ca="1" si="4"/>
        <v>0</v>
      </c>
      <c r="P18" s="472">
        <f t="shared" ca="1" si="5"/>
        <v>0</v>
      </c>
      <c r="R18" s="468">
        <f ca="1">ROUND(IF($C18="Automático",AC18+AJ18,$Y18*IF(ISERROR(QCI!$AA18/QCI!$O18),0,QCI!$AA18/QCI!$O18)),2)</f>
        <v>0</v>
      </c>
      <c r="S18" s="468">
        <f ca="1">ROUND(IF($C18="Automático",AD18+AK18,$Y18*IF(ISERROR(QCI!$AB18/QCI!$O18),0,QCI!$AB18/QCI!$O18)),2)</f>
        <v>0</v>
      </c>
      <c r="T18" s="468">
        <f ca="1">ROUND(IF($C18="Automático",AF18+AM18,$Z18*IF(ISERROR(QCI!$AA18/QCI!$O18),0,QCI!$AA18/QCI!$O18)),2)</f>
        <v>0</v>
      </c>
      <c r="U18" s="468">
        <f ca="1">ROUND(IF($C18="Automático",AG18+AN18,$Z18*IF(ISERROR(QCI!$AB18/QCI!$O18),0,QCI!$AB18/QCI!$O18)),2)</f>
        <v>0</v>
      </c>
      <c r="V18" s="587">
        <f ca="1">IF(AND($L18&gt;0,$J18&lt;&gt;0,$J18&lt;&gt;"",COUNTIF($J$13:$J18,$J18)=1),OFFSET(V18,-1,0)+1,OFFSET(V18,-1,0))</f>
        <v>1</v>
      </c>
      <c r="X18" s="372"/>
      <c r="Y18" s="373"/>
      <c r="Z18" s="375"/>
      <c r="AC18" s="233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3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3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3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3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3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3" t="e">
        <f ca="1">IF(ACOMPANHAMENTO&lt;&gt;"BM",0,SUMPRODUCT(OFFSET(BM!$M$15,$A18,0,$B18)*(OFFSET(BM!$A$15,$A18,0,$B18)="S")*OFFSET(ORÇAMENTO!AA$15,$A18,0,$B18)/(OFFSET(ORÇAMENTO!$X$15,$A18,0,$B18)+10^-12)))</f>
        <v>#N/A</v>
      </c>
      <c r="AK18" s="233" t="e">
        <f ca="1">IF(ACOMPANHAMENTO&lt;&gt;"BM",0,SUMPRODUCT(OFFSET(BM!$M$15,$A18,0,$B18)*(OFFSET(BM!$A$15,$A18,0,$B18)="S")*OFFSET(ORÇAMENTO!AB$15,$A18,0,$B18)/(OFFSET(ORÇAMENTO!$X$15,$A18,0,$B18)+10^-12)))</f>
        <v>#N/A</v>
      </c>
      <c r="AL18" s="233" t="e">
        <f ca="1">IF(ACOMPANHAMENTO&lt;&gt;"BM",0,OFFSET(BM!$M$15,$A18,0))</f>
        <v>#N/A</v>
      </c>
      <c r="AM18" s="233" t="e">
        <f ca="1">IF(ACOMPANHAMENTO&lt;&gt;"BM",0,SUMPRODUCT(OFFSET(BM!$O$15,$A18,0,$B18)*(OFFSET(BM!$A$15,$A18,0,$B18)="S")*OFFSET(ORÇAMENTO!AA$15,$A18,0,$B18)/(OFFSET(ORÇAMENTO!$X$15,$A18,0,$B18)+10^-12)))</f>
        <v>#N/A</v>
      </c>
      <c r="AN18" s="233" t="e">
        <f ca="1">IF(ACOMPANHAMENTO&lt;&gt;"BM",0,SUMPRODUCT(OFFSET(BM!$O$15,$A18,0,$B18)*(OFFSET(BM!$A$15,$A18,0,$B18)="S")*OFFSET(ORÇAMENTO!AB$15,$A18,0,$B18)/(OFFSET(ORÇAMENTO!$X$15,$A18,0,$B18)+10^-12)))</f>
        <v>#N/A</v>
      </c>
      <c r="AO18" s="233" t="e">
        <f ca="1">IF(ACOMPANHAMENTO&lt;&gt;"BM",0,OFFSET(BM!$O$15,$A18,0))</f>
        <v>#N/A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0">
        <f>QCI!D19</f>
        <v>6</v>
      </c>
      <c r="F19" s="461" t="str">
        <f ca="1">QCI!G19</f>
        <v/>
      </c>
      <c r="G19" s="462">
        <f>QCI!H19</f>
        <v>0</v>
      </c>
      <c r="H19" s="463">
        <f>QCI!I19</f>
        <v>0</v>
      </c>
      <c r="I19" s="464" t="str">
        <f ca="1">QCI!J19</f>
        <v/>
      </c>
      <c r="J19" s="465" t="str">
        <f ca="1">QCI!K19</f>
        <v/>
      </c>
      <c r="K19" s="466" t="str">
        <f t="shared" ca="1" si="1"/>
        <v/>
      </c>
      <c r="L19" s="467">
        <f ca="1">QCI!$O19</f>
        <v>0</v>
      </c>
      <c r="M19" s="469">
        <f t="shared" ca="1" si="2"/>
        <v>0</v>
      </c>
      <c r="N19" s="470">
        <f t="shared" ca="1" si="3"/>
        <v>0</v>
      </c>
      <c r="O19" s="471">
        <f t="shared" ca="1" si="4"/>
        <v>0</v>
      </c>
      <c r="P19" s="472">
        <f t="shared" ca="1" si="5"/>
        <v>0</v>
      </c>
      <c r="R19" s="468">
        <f ca="1">ROUND(IF($C19="Automático",AC19+AJ19,$Y19*IF(ISERROR(QCI!$AA19/QCI!$O19),0,QCI!$AA19/QCI!$O19)),2)</f>
        <v>0</v>
      </c>
      <c r="S19" s="468">
        <f ca="1">ROUND(IF($C19="Automático",AD19+AK19,$Y19*IF(ISERROR(QCI!$AB19/QCI!$O19),0,QCI!$AB19/QCI!$O19)),2)</f>
        <v>0</v>
      </c>
      <c r="T19" s="468">
        <f ca="1">ROUND(IF($C19="Automático",AF19+AM19,$Z19*IF(ISERROR(QCI!$AA19/QCI!$O19),0,QCI!$AA19/QCI!$O19)),2)</f>
        <v>0</v>
      </c>
      <c r="U19" s="468">
        <f ca="1">ROUND(IF($C19="Automático",AG19+AN19,$Z19*IF(ISERROR(QCI!$AB19/QCI!$O19),0,QCI!$AB19/QCI!$O19)),2)</f>
        <v>0</v>
      </c>
      <c r="V19" s="587">
        <f ca="1">IF(AND($L19&gt;0,$J19&lt;&gt;0,$J19&lt;&gt;"",COUNTIF($J$13:$J19,$J19)=1),OFFSET(V19,-1,0)+1,OFFSET(V19,-1,0))</f>
        <v>1</v>
      </c>
      <c r="X19" s="372"/>
      <c r="Y19" s="373"/>
      <c r="Z19" s="375"/>
      <c r="AC19" s="233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3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3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3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3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3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3" t="e">
        <f ca="1">IF(ACOMPANHAMENTO&lt;&gt;"BM",0,SUMPRODUCT(OFFSET(BM!$M$15,$A19,0,$B19)*(OFFSET(BM!$A$15,$A19,0,$B19)="S")*OFFSET(ORÇAMENTO!AA$15,$A19,0,$B19)/(OFFSET(ORÇAMENTO!$X$15,$A19,0,$B19)+10^-12)))</f>
        <v>#N/A</v>
      </c>
      <c r="AK19" s="233" t="e">
        <f ca="1">IF(ACOMPANHAMENTO&lt;&gt;"BM",0,SUMPRODUCT(OFFSET(BM!$M$15,$A19,0,$B19)*(OFFSET(BM!$A$15,$A19,0,$B19)="S")*OFFSET(ORÇAMENTO!AB$15,$A19,0,$B19)/(OFFSET(ORÇAMENTO!$X$15,$A19,0,$B19)+10^-12)))</f>
        <v>#N/A</v>
      </c>
      <c r="AL19" s="233" t="e">
        <f ca="1">IF(ACOMPANHAMENTO&lt;&gt;"BM",0,OFFSET(BM!$M$15,$A19,0))</f>
        <v>#N/A</v>
      </c>
      <c r="AM19" s="233" t="e">
        <f ca="1">IF(ACOMPANHAMENTO&lt;&gt;"BM",0,SUMPRODUCT(OFFSET(BM!$O$15,$A19,0,$B19)*(OFFSET(BM!$A$15,$A19,0,$B19)="S")*OFFSET(ORÇAMENTO!AA$15,$A19,0,$B19)/(OFFSET(ORÇAMENTO!$X$15,$A19,0,$B19)+10^-12)))</f>
        <v>#N/A</v>
      </c>
      <c r="AN19" s="233" t="e">
        <f ca="1">IF(ACOMPANHAMENTO&lt;&gt;"BM",0,SUMPRODUCT(OFFSET(BM!$O$15,$A19,0,$B19)*(OFFSET(BM!$A$15,$A19,0,$B19)="S")*OFFSET(ORÇAMENTO!AB$15,$A19,0,$B19)/(OFFSET(ORÇAMENTO!$X$15,$A19,0,$B19)+10^-12)))</f>
        <v>#N/A</v>
      </c>
      <c r="AO19" s="233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0">
        <f>QCI!D20</f>
        <v>7</v>
      </c>
      <c r="F20" s="461" t="str">
        <f ca="1">QCI!G20</f>
        <v/>
      </c>
      <c r="G20" s="462">
        <f>QCI!H20</f>
        <v>0</v>
      </c>
      <c r="H20" s="463">
        <f>QCI!I20</f>
        <v>0</v>
      </c>
      <c r="I20" s="464" t="str">
        <f ca="1">QCI!J20</f>
        <v/>
      </c>
      <c r="J20" s="465" t="str">
        <f ca="1">QCI!K20</f>
        <v/>
      </c>
      <c r="K20" s="466" t="str">
        <f t="shared" ca="1" si="1"/>
        <v/>
      </c>
      <c r="L20" s="467">
        <f ca="1">QCI!$O20</f>
        <v>0</v>
      </c>
      <c r="M20" s="469">
        <f t="shared" ca="1" si="2"/>
        <v>0</v>
      </c>
      <c r="N20" s="470">
        <f t="shared" ca="1" si="3"/>
        <v>0</v>
      </c>
      <c r="O20" s="471">
        <f t="shared" ca="1" si="4"/>
        <v>0</v>
      </c>
      <c r="P20" s="472">
        <f t="shared" ca="1" si="5"/>
        <v>0</v>
      </c>
      <c r="R20" s="468">
        <f ca="1">ROUND(IF($C20="Automático",AC20+AJ20,$Y20*IF(ISERROR(QCI!$AA20/QCI!$O20),0,QCI!$AA20/QCI!$O20)),2)</f>
        <v>0</v>
      </c>
      <c r="S20" s="468">
        <f ca="1">ROUND(IF($C20="Automático",AD20+AK20,$Y20*IF(ISERROR(QCI!$AB20/QCI!$O20),0,QCI!$AB20/QCI!$O20)),2)</f>
        <v>0</v>
      </c>
      <c r="T20" s="468">
        <f ca="1">ROUND(IF($C20="Automático",AF20+AM20,$Z20*IF(ISERROR(QCI!$AA20/QCI!$O20),0,QCI!$AA20/QCI!$O20)),2)</f>
        <v>0</v>
      </c>
      <c r="U20" s="468">
        <f ca="1">ROUND(IF($C20="Automático",AG20+AN20,$Z20*IF(ISERROR(QCI!$AB20/QCI!$O20),0,QCI!$AB20/QCI!$O20)),2)</f>
        <v>0</v>
      </c>
      <c r="V20" s="587">
        <f ca="1">IF(AND($L20&gt;0,$J20&lt;&gt;0,$J20&lt;&gt;"",COUNTIF($J$13:$J20,$J20)=1),OFFSET(V20,-1,0)+1,OFFSET(V20,-1,0))</f>
        <v>1</v>
      </c>
      <c r="X20" s="372"/>
      <c r="Y20" s="373"/>
      <c r="Z20" s="375"/>
      <c r="AC20" s="233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3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3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3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3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3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3" t="e">
        <f ca="1">IF(ACOMPANHAMENTO&lt;&gt;"BM",0,SUMPRODUCT(OFFSET(BM!$M$15,$A20,0,$B20)*(OFFSET(BM!$A$15,$A20,0,$B20)="S")*OFFSET(ORÇAMENTO!AA$15,$A20,0,$B20)/(OFFSET(ORÇAMENTO!$X$15,$A20,0,$B20)+10^-12)))</f>
        <v>#N/A</v>
      </c>
      <c r="AK20" s="233" t="e">
        <f ca="1">IF(ACOMPANHAMENTO&lt;&gt;"BM",0,SUMPRODUCT(OFFSET(BM!$M$15,$A20,0,$B20)*(OFFSET(BM!$A$15,$A20,0,$B20)="S")*OFFSET(ORÇAMENTO!AB$15,$A20,0,$B20)/(OFFSET(ORÇAMENTO!$X$15,$A20,0,$B20)+10^-12)))</f>
        <v>#N/A</v>
      </c>
      <c r="AL20" s="233" t="e">
        <f ca="1">IF(ACOMPANHAMENTO&lt;&gt;"BM",0,OFFSET(BM!$M$15,$A20,0))</f>
        <v>#N/A</v>
      </c>
      <c r="AM20" s="233" t="e">
        <f ca="1">IF(ACOMPANHAMENTO&lt;&gt;"BM",0,SUMPRODUCT(OFFSET(BM!$O$15,$A20,0,$B20)*(OFFSET(BM!$A$15,$A20,0,$B20)="S")*OFFSET(ORÇAMENTO!AA$15,$A20,0,$B20)/(OFFSET(ORÇAMENTO!$X$15,$A20,0,$B20)+10^-12)))</f>
        <v>#N/A</v>
      </c>
      <c r="AN20" s="233" t="e">
        <f ca="1">IF(ACOMPANHAMENTO&lt;&gt;"BM",0,SUMPRODUCT(OFFSET(BM!$O$15,$A20,0,$B20)*(OFFSET(BM!$A$15,$A20,0,$B20)="S")*OFFSET(ORÇAMENTO!AB$15,$A20,0,$B20)/(OFFSET(ORÇAMENTO!$X$15,$A20,0,$B20)+10^-12)))</f>
        <v>#N/A</v>
      </c>
      <c r="AO20" s="233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0">
        <f>QCI!D21</f>
        <v>8</v>
      </c>
      <c r="F21" s="461" t="str">
        <f ca="1">QCI!G21</f>
        <v/>
      </c>
      <c r="G21" s="462">
        <f>QCI!H21</f>
        <v>0</v>
      </c>
      <c r="H21" s="463">
        <f>QCI!I21</f>
        <v>0</v>
      </c>
      <c r="I21" s="464" t="str">
        <f ca="1">QCI!J21</f>
        <v/>
      </c>
      <c r="J21" s="465" t="str">
        <f ca="1">QCI!K21</f>
        <v/>
      </c>
      <c r="K21" s="466" t="str">
        <f t="shared" ca="1" si="1"/>
        <v/>
      </c>
      <c r="L21" s="467">
        <f ca="1">QCI!$O21</f>
        <v>0</v>
      </c>
      <c r="M21" s="469">
        <f t="shared" ca="1" si="2"/>
        <v>0</v>
      </c>
      <c r="N21" s="470">
        <f t="shared" ca="1" si="3"/>
        <v>0</v>
      </c>
      <c r="O21" s="471">
        <f t="shared" ca="1" si="4"/>
        <v>0</v>
      </c>
      <c r="P21" s="472">
        <f t="shared" ca="1" si="5"/>
        <v>0</v>
      </c>
      <c r="R21" s="468">
        <f ca="1">ROUND(IF($C21="Automático",AC21+AJ21,$Y21*IF(ISERROR(QCI!$AA21/QCI!$O21),0,QCI!$AA21/QCI!$O21)),2)</f>
        <v>0</v>
      </c>
      <c r="S21" s="468">
        <f ca="1">ROUND(IF($C21="Automático",AD21+AK21,$Y21*IF(ISERROR(QCI!$AB21/QCI!$O21),0,QCI!$AB21/QCI!$O21)),2)</f>
        <v>0</v>
      </c>
      <c r="T21" s="468">
        <f ca="1">ROUND(IF($C21="Automático",AF21+AM21,$Z21*IF(ISERROR(QCI!$AA21/QCI!$O21),0,QCI!$AA21/QCI!$O21)),2)</f>
        <v>0</v>
      </c>
      <c r="U21" s="468">
        <f ca="1">ROUND(IF($C21="Automático",AG21+AN21,$Z21*IF(ISERROR(QCI!$AB21/QCI!$O21),0,QCI!$AB21/QCI!$O21)),2)</f>
        <v>0</v>
      </c>
      <c r="V21" s="587">
        <f ca="1">IF(AND($L21&gt;0,$J21&lt;&gt;0,$J21&lt;&gt;"",COUNTIF($J$13:$J21,$J21)=1),OFFSET(V21,-1,0)+1,OFFSET(V21,-1,0))</f>
        <v>1</v>
      </c>
      <c r="X21" s="372"/>
      <c r="Y21" s="373"/>
      <c r="Z21" s="375"/>
      <c r="AC21" s="233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3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3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3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3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3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3" t="e">
        <f ca="1">IF(ACOMPANHAMENTO&lt;&gt;"BM",0,SUMPRODUCT(OFFSET(BM!$M$15,$A21,0,$B21)*(OFFSET(BM!$A$15,$A21,0,$B21)="S")*OFFSET(ORÇAMENTO!AA$15,$A21,0,$B21)/(OFFSET(ORÇAMENTO!$X$15,$A21,0,$B21)+10^-12)))</f>
        <v>#N/A</v>
      </c>
      <c r="AK21" s="233" t="e">
        <f ca="1">IF(ACOMPANHAMENTO&lt;&gt;"BM",0,SUMPRODUCT(OFFSET(BM!$M$15,$A21,0,$B21)*(OFFSET(BM!$A$15,$A21,0,$B21)="S")*OFFSET(ORÇAMENTO!AB$15,$A21,0,$B21)/(OFFSET(ORÇAMENTO!$X$15,$A21,0,$B21)+10^-12)))</f>
        <v>#N/A</v>
      </c>
      <c r="AL21" s="233" t="e">
        <f ca="1">IF(ACOMPANHAMENTO&lt;&gt;"BM",0,OFFSET(BM!$M$15,$A21,0))</f>
        <v>#N/A</v>
      </c>
      <c r="AM21" s="233" t="e">
        <f ca="1">IF(ACOMPANHAMENTO&lt;&gt;"BM",0,SUMPRODUCT(OFFSET(BM!$O$15,$A21,0,$B21)*(OFFSET(BM!$A$15,$A21,0,$B21)="S")*OFFSET(ORÇAMENTO!AA$15,$A21,0,$B21)/(OFFSET(ORÇAMENTO!$X$15,$A21,0,$B21)+10^-12)))</f>
        <v>#N/A</v>
      </c>
      <c r="AN21" s="233" t="e">
        <f ca="1">IF(ACOMPANHAMENTO&lt;&gt;"BM",0,SUMPRODUCT(OFFSET(BM!$O$15,$A21,0,$B21)*(OFFSET(BM!$A$15,$A21,0,$B21)="S")*OFFSET(ORÇAMENTO!AB$15,$A21,0,$B21)/(OFFSET(ORÇAMENTO!$X$15,$A21,0,$B21)+10^-12)))</f>
        <v>#N/A</v>
      </c>
      <c r="AO21" s="233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0">
        <f>QCI!D22</f>
        <v>9</v>
      </c>
      <c r="F22" s="461" t="str">
        <f ca="1">QCI!G22</f>
        <v/>
      </c>
      <c r="G22" s="462">
        <f>QCI!H22</f>
        <v>0</v>
      </c>
      <c r="H22" s="463">
        <f>QCI!I22</f>
        <v>0</v>
      </c>
      <c r="I22" s="464" t="str">
        <f ca="1">QCI!J22</f>
        <v/>
      </c>
      <c r="J22" s="465" t="str">
        <f ca="1">QCI!K22</f>
        <v/>
      </c>
      <c r="K22" s="466" t="str">
        <f t="shared" ca="1" si="1"/>
        <v/>
      </c>
      <c r="L22" s="467">
        <f ca="1">QCI!$O22</f>
        <v>0</v>
      </c>
      <c r="M22" s="469">
        <f t="shared" ca="1" si="2"/>
        <v>0</v>
      </c>
      <c r="N22" s="470">
        <f t="shared" ca="1" si="3"/>
        <v>0</v>
      </c>
      <c r="O22" s="471">
        <f t="shared" ca="1" si="4"/>
        <v>0</v>
      </c>
      <c r="P22" s="472">
        <f t="shared" ca="1" si="5"/>
        <v>0</v>
      </c>
      <c r="R22" s="468">
        <f ca="1">ROUND(IF($C22="Automático",AC22+AJ22,$Y22*IF(ISERROR(QCI!$AA22/QCI!$O22),0,QCI!$AA22/QCI!$O22)),2)</f>
        <v>0</v>
      </c>
      <c r="S22" s="468">
        <f ca="1">ROUND(IF($C22="Automático",AD22+AK22,$Y22*IF(ISERROR(QCI!$AB22/QCI!$O22),0,QCI!$AB22/QCI!$O22)),2)</f>
        <v>0</v>
      </c>
      <c r="T22" s="468">
        <f ca="1">ROUND(IF($C22="Automático",AF22+AM22,$Z22*IF(ISERROR(QCI!$AA22/QCI!$O22),0,QCI!$AA22/QCI!$O22)),2)</f>
        <v>0</v>
      </c>
      <c r="U22" s="468">
        <f ca="1">ROUND(IF($C22="Automático",AG22+AN22,$Z22*IF(ISERROR(QCI!$AB22/QCI!$O22),0,QCI!$AB22/QCI!$O22)),2)</f>
        <v>0</v>
      </c>
      <c r="V22" s="587">
        <f ca="1">IF(AND($L22&gt;0,$J22&lt;&gt;0,$J22&lt;&gt;"",COUNTIF($J$13:$J22,$J22)=1),OFFSET(V22,-1,0)+1,OFFSET(V22,-1,0))</f>
        <v>1</v>
      </c>
      <c r="X22" s="372"/>
      <c r="Y22" s="373"/>
      <c r="Z22" s="375"/>
      <c r="AC22" s="233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3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3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3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3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3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3" t="e">
        <f ca="1">IF(ACOMPANHAMENTO&lt;&gt;"BM",0,SUMPRODUCT(OFFSET(BM!$M$15,$A22,0,$B22)*(OFFSET(BM!$A$15,$A22,0,$B22)="S")*OFFSET(ORÇAMENTO!AA$15,$A22,0,$B22)/(OFFSET(ORÇAMENTO!$X$15,$A22,0,$B22)+10^-12)))</f>
        <v>#N/A</v>
      </c>
      <c r="AK22" s="233" t="e">
        <f ca="1">IF(ACOMPANHAMENTO&lt;&gt;"BM",0,SUMPRODUCT(OFFSET(BM!$M$15,$A22,0,$B22)*(OFFSET(BM!$A$15,$A22,0,$B22)="S")*OFFSET(ORÇAMENTO!AB$15,$A22,0,$B22)/(OFFSET(ORÇAMENTO!$X$15,$A22,0,$B22)+10^-12)))</f>
        <v>#N/A</v>
      </c>
      <c r="AL22" s="233" t="e">
        <f ca="1">IF(ACOMPANHAMENTO&lt;&gt;"BM",0,OFFSET(BM!$M$15,$A22,0))</f>
        <v>#N/A</v>
      </c>
      <c r="AM22" s="233" t="e">
        <f ca="1">IF(ACOMPANHAMENTO&lt;&gt;"BM",0,SUMPRODUCT(OFFSET(BM!$O$15,$A22,0,$B22)*(OFFSET(BM!$A$15,$A22,0,$B22)="S")*OFFSET(ORÇAMENTO!AA$15,$A22,0,$B22)/(OFFSET(ORÇAMENTO!$X$15,$A22,0,$B22)+10^-12)))</f>
        <v>#N/A</v>
      </c>
      <c r="AN22" s="233" t="e">
        <f ca="1">IF(ACOMPANHAMENTO&lt;&gt;"BM",0,SUMPRODUCT(OFFSET(BM!$O$15,$A22,0,$B22)*(OFFSET(BM!$A$15,$A22,0,$B22)="S")*OFFSET(ORÇAMENTO!AB$15,$A22,0,$B22)/(OFFSET(ORÇAMENTO!$X$15,$A22,0,$B22)+10^-12)))</f>
        <v>#N/A</v>
      </c>
      <c r="AO22" s="233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0">
        <f>QCI!D23</f>
        <v>10</v>
      </c>
      <c r="F23" s="461" t="str">
        <f ca="1">QCI!G23</f>
        <v/>
      </c>
      <c r="G23" s="462">
        <f>QCI!H23</f>
        <v>0</v>
      </c>
      <c r="H23" s="463">
        <f>QCI!I23</f>
        <v>0</v>
      </c>
      <c r="I23" s="464" t="str">
        <f ca="1">QCI!J23</f>
        <v/>
      </c>
      <c r="J23" s="465" t="str">
        <f ca="1">QCI!K23</f>
        <v/>
      </c>
      <c r="K23" s="466" t="str">
        <f t="shared" ca="1" si="1"/>
        <v/>
      </c>
      <c r="L23" s="467">
        <f ca="1">QCI!$O23</f>
        <v>0</v>
      </c>
      <c r="M23" s="469">
        <f ca="1">ROUND(IF(C23="Automático",AE23+AL23,Y23),2)</f>
        <v>0</v>
      </c>
      <c r="N23" s="470">
        <f ca="1">O23-M23</f>
        <v>0</v>
      </c>
      <c r="O23" s="471">
        <f ca="1">ROUND(IF(C23="Automático",AH23+AO23,Z23),2)</f>
        <v>0</v>
      </c>
      <c r="P23" s="472">
        <f ca="1">O23/(L23+10^-12)</f>
        <v>0</v>
      </c>
      <c r="R23" s="468">
        <f ca="1">ROUND(IF($C23="Automático",AC23+AJ23,$Y23*IF(ISERROR(QCI!$AA23/QCI!$O23),0,QCI!$AA23/QCI!$O23)),2)</f>
        <v>0</v>
      </c>
      <c r="S23" s="468">
        <f ca="1">ROUND(IF($C23="Automático",AD23+AK23,$Y23*IF(ISERROR(QCI!$AB23/QCI!$O23),0,QCI!$AB23/QCI!$O23)),2)</f>
        <v>0</v>
      </c>
      <c r="T23" s="468">
        <f ca="1">ROUND(IF($C23="Automático",AF23+AM23,$Z23*IF(ISERROR(QCI!$AA23/QCI!$O23),0,QCI!$AA23/QCI!$O23)),2)</f>
        <v>0</v>
      </c>
      <c r="U23" s="468">
        <f ca="1">ROUND(IF($C23="Automático",AG23+AN23,$Z23*IF(ISERROR(QCI!$AB23/QCI!$O23),0,QCI!$AB23/QCI!$O23)),2)</f>
        <v>0</v>
      </c>
      <c r="V23" s="587">
        <f ca="1">IF(AND($L23&gt;0,$J23&lt;&gt;0,$J23&lt;&gt;"",COUNTIF($J$13:$J23,$J23)=1),OFFSET(V23,-1,0)+1,OFFSET(V23,-1,0))</f>
        <v>1</v>
      </c>
      <c r="X23" s="372"/>
      <c r="Y23" s="373"/>
      <c r="Z23" s="375"/>
      <c r="AC23" s="233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3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3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3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3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3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3" t="e">
        <f ca="1">IF(ACOMPANHAMENTO&lt;&gt;"BM",0,SUMPRODUCT(OFFSET(BM!$M$15,$A23,0,$B23)*(OFFSET(BM!$A$15,$A23,0,$B23)="S")*OFFSET(ORÇAMENTO!AA$15,$A23,0,$B23)/(OFFSET(ORÇAMENTO!$X$15,$A23,0,$B23)+10^-12)))</f>
        <v>#N/A</v>
      </c>
      <c r="AK23" s="233" t="e">
        <f ca="1">IF(ACOMPANHAMENTO&lt;&gt;"BM",0,SUMPRODUCT(OFFSET(BM!$M$15,$A23,0,$B23)*(OFFSET(BM!$A$15,$A23,0,$B23)="S")*OFFSET(ORÇAMENTO!AB$15,$A23,0,$B23)/(OFFSET(ORÇAMENTO!$X$15,$A23,0,$B23)+10^-12)))</f>
        <v>#N/A</v>
      </c>
      <c r="AL23" s="233" t="e">
        <f ca="1">IF(ACOMPANHAMENTO&lt;&gt;"BM",0,OFFSET(BM!$M$15,$A23,0))</f>
        <v>#N/A</v>
      </c>
      <c r="AM23" s="233" t="e">
        <f ca="1">IF(ACOMPANHAMENTO&lt;&gt;"BM",0,SUMPRODUCT(OFFSET(BM!$O$15,$A23,0,$B23)*(OFFSET(BM!$A$15,$A23,0,$B23)="S")*OFFSET(ORÇAMENTO!AA$15,$A23,0,$B23)/(OFFSET(ORÇAMENTO!$X$15,$A23,0,$B23)+10^-12)))</f>
        <v>#N/A</v>
      </c>
      <c r="AN23" s="233" t="e">
        <f ca="1">IF(ACOMPANHAMENTO&lt;&gt;"BM",0,SUMPRODUCT(OFFSET(BM!$O$15,$A23,0,$B23)*(OFFSET(BM!$A$15,$A23,0,$B23)="S")*OFFSET(ORÇAMENTO!AB$15,$A23,0,$B23)/(OFFSET(ORÇAMENTO!$X$15,$A23,0,$B23)+10^-12)))</f>
        <v>#N/A</v>
      </c>
      <c r="AO23" s="233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6" t="s">
        <v>375</v>
      </c>
      <c r="K24" s="787"/>
      <c r="L24" s="474">
        <f ca="1">IF(ISERROR(L28/$L28),0,ROUND(L28/$L28,4))</f>
        <v>1</v>
      </c>
      <c r="M24" s="476">
        <f ca="1">IF(ISERROR(M28/$L28),0,ROUND(M28/$L28,4))</f>
        <v>0</v>
      </c>
      <c r="N24" s="475">
        <f ca="1">IF(ISERROR(N28/$L28),0,ROUND(N28/$L28,4))</f>
        <v>0</v>
      </c>
      <c r="O24" s="477">
        <f ca="1">IF(ISERROR(O28/$L28),0,ROUND(O28/$L28,4))</f>
        <v>0</v>
      </c>
      <c r="P24" s="788">
        <f ca="1">O28/(L28+10^-12)</f>
        <v>0</v>
      </c>
      <c r="X24" s="478"/>
      <c r="Y24" s="479"/>
      <c r="Z24" s="480"/>
    </row>
    <row r="25" spans="1:41" ht="12.95" customHeight="1" x14ac:dyDescent="0.2">
      <c r="D25" t="s">
        <v>245</v>
      </c>
      <c r="E25" s="514"/>
      <c r="F25" s="514"/>
      <c r="G25" s="514"/>
      <c r="H25" s="514"/>
      <c r="I25" s="5"/>
      <c r="J25" s="789" t="str">
        <f>IF(import.recurso="FGTS","Financiamento","Repasse")</f>
        <v>Repasse</v>
      </c>
      <c r="K25" s="790"/>
      <c r="L25" s="481">
        <f ca="1">QCI!L24</f>
        <v>0</v>
      </c>
      <c r="M25" s="482">
        <f ca="1">M28-M27-M26</f>
        <v>0</v>
      </c>
      <c r="N25" s="483">
        <f ca="1">O25-M25</f>
        <v>0</v>
      </c>
      <c r="O25" s="484">
        <f ca="1">O28-O27-O26</f>
        <v>0</v>
      </c>
      <c r="P25" s="788"/>
      <c r="X25" s="485"/>
      <c r="Y25" s="486" t="s">
        <v>376</v>
      </c>
      <c r="Z25" s="487" t="s">
        <v>377</v>
      </c>
      <c r="AC25" s="488" t="s">
        <v>378</v>
      </c>
      <c r="AD25" s="488" t="s">
        <v>379</v>
      </c>
    </row>
    <row r="26" spans="1:41" ht="12.95" customHeight="1" x14ac:dyDescent="0.2">
      <c r="D26" t="s">
        <v>245</v>
      </c>
      <c r="E26" s="514"/>
      <c r="F26" s="514"/>
      <c r="G26" s="514"/>
      <c r="H26" s="514"/>
      <c r="I26" s="5"/>
      <c r="J26" s="791" t="s">
        <v>380</v>
      </c>
      <c r="K26" s="792"/>
      <c r="L26" s="489">
        <f ca="1">QCI!M24</f>
        <v>192352.07</v>
      </c>
      <c r="M26" s="490">
        <f ca="1">ROUND(IF(OFFSET($X$26,0,1)&lt;&gt;"",OFFSET($X$26,0,1),SUM(R13:OFFSET(R24,-1,0))),2)</f>
        <v>0</v>
      </c>
      <c r="N26" s="491">
        <f ca="1">O26-M26</f>
        <v>0</v>
      </c>
      <c r="O26" s="492">
        <f ca="1">IF(OFFSET($X$26,0,2)&lt;&gt;"",OFFSET($X$26,0,2),$AE$3)</f>
        <v>0</v>
      </c>
      <c r="P26" s="788"/>
      <c r="X26" s="493" t="s">
        <v>168</v>
      </c>
      <c r="Y26" s="582"/>
      <c r="Z26" s="583"/>
      <c r="AC26" s="494">
        <f ca="1">MIN($L26,$O$28-OFFSET($X$27,0,1))</f>
        <v>0</v>
      </c>
      <c r="AD26" s="494">
        <f ca="1">MIN($L26,$O$28-OFFSET($X$27,0,2))</f>
        <v>0</v>
      </c>
    </row>
    <row r="27" spans="1:41" ht="12.95" customHeight="1" x14ac:dyDescent="0.2">
      <c r="D27" t="s">
        <v>245</v>
      </c>
      <c r="E27" s="514"/>
      <c r="F27" s="514"/>
      <c r="G27" s="514"/>
      <c r="H27" s="514"/>
      <c r="I27" s="5"/>
      <c r="J27" s="793" t="s">
        <v>357</v>
      </c>
      <c r="K27" s="794"/>
      <c r="L27" s="495">
        <f ca="1">QCI!N24</f>
        <v>0</v>
      </c>
      <c r="M27" s="496">
        <f ca="1">ROUND(IF(OFFSET($X$27,0,1)&lt;&gt;"",OFFSET($X$27,0,1),SUM(S13:OFFSET(S24,-1,0))),2)</f>
        <v>0</v>
      </c>
      <c r="N27" s="497">
        <f ca="1">O27-M27</f>
        <v>0</v>
      </c>
      <c r="O27" s="498">
        <f ca="1">IF(OFFSET($X$27,0,2)&lt;&gt;"",OFFSET($X$27,0,2),$AE$4)</f>
        <v>0</v>
      </c>
      <c r="P27" s="788"/>
      <c r="X27" s="499" t="s">
        <v>277</v>
      </c>
      <c r="Y27" s="584"/>
      <c r="Z27" s="585"/>
      <c r="AC27" s="494">
        <f ca="1">MIN($L27,$O$28-OFFSET($X$26,0,1))</f>
        <v>0</v>
      </c>
      <c r="AD27" s="494">
        <f ca="1">MIN($L27,$O$28-OFFSET($X$26,0,2))</f>
        <v>0</v>
      </c>
    </row>
    <row r="28" spans="1:41" ht="15" x14ac:dyDescent="0.2">
      <c r="D28" t="s">
        <v>245</v>
      </c>
      <c r="E28" s="514"/>
      <c r="F28" s="514"/>
      <c r="G28" s="514"/>
      <c r="H28" s="514"/>
      <c r="I28" s="5"/>
      <c r="J28" s="795" t="s">
        <v>359</v>
      </c>
      <c r="K28" s="796"/>
      <c r="L28" s="500">
        <f ca="1">SUM(L13:OFFSET(L24,-1,0))</f>
        <v>192352.07</v>
      </c>
      <c r="M28" s="501">
        <f ca="1">ROUND(SUM(M13:OFFSET(M24,-1,0)),2)</f>
        <v>0</v>
      </c>
      <c r="N28" s="502">
        <f ca="1">O28-M28</f>
        <v>0</v>
      </c>
      <c r="O28" s="503">
        <f ca="1">SUM(O13:OFFSET(O24,-1,0))</f>
        <v>0</v>
      </c>
      <c r="P28" s="788"/>
      <c r="X28" s="504"/>
      <c r="Y28" s="505"/>
      <c r="Z28" s="506"/>
    </row>
    <row r="29" spans="1:41" x14ac:dyDescent="0.2">
      <c r="O29" s="797" t="str">
        <f ca="1">"Acumulado Anterior:  "&amp;TEXT($M$28/($L$28+10^-12),"0,00%")</f>
        <v>Acumulado Anterior:  0,00%</v>
      </c>
      <c r="P29" s="797"/>
    </row>
    <row r="30" spans="1:41" ht="14.25" x14ac:dyDescent="0.2">
      <c r="E30" s="170" t="s">
        <v>186</v>
      </c>
      <c r="F30" s="105"/>
      <c r="G30" s="105"/>
      <c r="H30" s="105"/>
      <c r="I30" s="105"/>
      <c r="J30" s="105"/>
      <c r="K30" s="105"/>
      <c r="M30" s="105"/>
      <c r="N30" s="105"/>
      <c r="P30" s="590"/>
      <c r="R30" s="105"/>
      <c r="S30" s="105"/>
      <c r="T30" s="105"/>
      <c r="U30" s="105"/>
    </row>
    <row r="31" spans="1:41" ht="12.75" customHeight="1" x14ac:dyDescent="0.2">
      <c r="E31" s="779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1"/>
      <c r="R31" s="105"/>
      <c r="S31" s="105"/>
      <c r="T31" s="105"/>
      <c r="U31" s="105"/>
    </row>
    <row r="32" spans="1:41" ht="12.75" customHeight="1" x14ac:dyDescent="0.2">
      <c r="E32" s="779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1"/>
      <c r="R32" s="105"/>
      <c r="S32" s="105"/>
      <c r="T32" s="105"/>
      <c r="U32" s="105"/>
      <c r="Y32" s="507"/>
      <c r="Z32" s="507"/>
    </row>
    <row r="33" spans="5:21" ht="12.75" customHeight="1" x14ac:dyDescent="0.2">
      <c r="E33" s="782"/>
      <c r="F33" s="783"/>
      <c r="G33" s="783"/>
      <c r="H33" s="783"/>
      <c r="I33" s="783"/>
      <c r="J33" s="783"/>
      <c r="K33" s="783"/>
      <c r="L33" s="783"/>
      <c r="M33" s="783"/>
      <c r="N33" s="783"/>
      <c r="O33" s="783"/>
      <c r="P33" s="784"/>
      <c r="R33" s="105"/>
      <c r="S33" s="105"/>
      <c r="T33" s="105"/>
      <c r="U33" s="105"/>
    </row>
    <row r="34" spans="5:21" x14ac:dyDescent="0.2">
      <c r="R34" s="105"/>
      <c r="S34" s="105"/>
      <c r="T34" s="105"/>
      <c r="U34" s="105"/>
    </row>
    <row r="35" spans="5:21" ht="15" x14ac:dyDescent="0.2">
      <c r="E35" s="706" t="str">
        <f>Import.Município</f>
        <v>CÉU AZUL/PR</v>
      </c>
      <c r="F35" s="706"/>
      <c r="G35" s="706"/>
      <c r="I35" s="508"/>
      <c r="J35" s="100"/>
      <c r="L35" s="716">
        <f>DADOS!$F$25</f>
        <v>45146</v>
      </c>
      <c r="M35" s="716"/>
      <c r="N35" s="716"/>
      <c r="O35" s="716"/>
      <c r="R35" s="105"/>
      <c r="S35" s="105"/>
      <c r="T35" s="105"/>
      <c r="U35" s="105"/>
    </row>
    <row r="36" spans="5:21" x14ac:dyDescent="0.2">
      <c r="E36" s="12" t="s">
        <v>187</v>
      </c>
      <c r="F36" s="104"/>
      <c r="G36" s="104"/>
      <c r="L36" s="325" t="s">
        <v>188</v>
      </c>
      <c r="R36" s="105"/>
      <c r="S36" s="105"/>
      <c r="T36" s="105"/>
      <c r="U36" s="105"/>
    </row>
    <row r="37" spans="5:21" x14ac:dyDescent="0.2">
      <c r="E37" s="104"/>
      <c r="F37" s="104"/>
      <c r="G37" s="104"/>
      <c r="R37" s="105"/>
      <c r="S37" s="105"/>
      <c r="T37" s="105"/>
      <c r="U37" s="105"/>
    </row>
    <row r="38" spans="5:21" x14ac:dyDescent="0.2">
      <c r="E38" s="228"/>
      <c r="F38" s="228"/>
      <c r="G38" s="228"/>
      <c r="L38" s="228"/>
      <c r="M38" s="228"/>
      <c r="N38" s="228"/>
      <c r="O38" s="228"/>
      <c r="R38" s="105"/>
      <c r="S38" s="105"/>
      <c r="T38" s="105"/>
      <c r="U38" s="105"/>
    </row>
    <row r="39" spans="5:21" x14ac:dyDescent="0.2">
      <c r="E39" s="509" t="str">
        <f>IF(CAIXA.Modo,"Responsável Gerencial CAIXA","Representante Tomador")</f>
        <v>Representante Tomador</v>
      </c>
      <c r="F39" s="9"/>
      <c r="L39" s="509" t="str">
        <f>IF(CAIXA.Modo,"Responsável Técnico CAIXA","Responsável Técnico pela Fiscalização")</f>
        <v>Responsável Técnico pela Fiscalização</v>
      </c>
      <c r="R39" s="105"/>
      <c r="S39" s="105"/>
      <c r="T39" s="105"/>
      <c r="U39" s="105"/>
    </row>
    <row r="40" spans="5:21" x14ac:dyDescent="0.2">
      <c r="E40" s="94" t="s">
        <v>107</v>
      </c>
      <c r="F40" s="353" t="str">
        <f>IF(CAIXA.Modo,DADOS!F59,DADOS!F28)</f>
        <v>LAURINDO SPEROTTO</v>
      </c>
      <c r="L40" s="94" t="s">
        <v>107</v>
      </c>
      <c r="M40" s="785">
        <f>IF(CAIXA.Modo,BM!X278,DADOS!F50)</f>
        <v>0</v>
      </c>
      <c r="N40" s="785"/>
      <c r="O40" s="785"/>
      <c r="R40" s="105"/>
      <c r="S40" s="105"/>
      <c r="T40" s="105"/>
      <c r="U40" s="105"/>
    </row>
    <row r="41" spans="5:21" x14ac:dyDescent="0.2">
      <c r="E41" s="94" t="str">
        <f>IF(CAIXA.Modo,"Função:","Cargo:")</f>
        <v>Cargo:</v>
      </c>
      <c r="F41" s="353" t="str">
        <f>IF(CAIXA.Modo,DADOS!F60,DADOS!F29)</f>
        <v>PREFEITO</v>
      </c>
      <c r="L41" s="94" t="str">
        <f>IF(CAIXA.Modo,"Matrícula:","Profissão:")</f>
        <v>Profissão:</v>
      </c>
      <c r="M41" s="785">
        <f>IF(CAIXA.Modo,BM!X279,DADOS!F51)</f>
        <v>0</v>
      </c>
      <c r="N41" s="785"/>
      <c r="O41" s="785"/>
      <c r="R41" s="105"/>
      <c r="S41" s="105"/>
      <c r="T41" s="105"/>
      <c r="U41" s="105"/>
    </row>
    <row r="42" spans="5:21" x14ac:dyDescent="0.2">
      <c r="L42" s="94" t="s">
        <v>108</v>
      </c>
      <c r="M42" s="785">
        <f>IF(CAIXA.Modo,BM!X280,DADOS!F52)</f>
        <v>0</v>
      </c>
      <c r="N42" s="785"/>
      <c r="O42" s="785"/>
      <c r="R42" s="105"/>
      <c r="S42" s="105"/>
      <c r="T42" s="105"/>
      <c r="U42" s="105"/>
    </row>
    <row r="43" spans="5:21" x14ac:dyDescent="0.2">
      <c r="L43" s="94" t="str">
        <f>IF(CAIXA.Modo,"","ART/RRT:")</f>
        <v>ART/RRT:</v>
      </c>
      <c r="M43" s="354">
        <f>IF(CAIXA.Modo,"",DADOS!F53)</f>
        <v>0</v>
      </c>
      <c r="R43" s="105"/>
      <c r="S43" s="105"/>
      <c r="T43" s="105"/>
      <c r="U43" s="105"/>
    </row>
    <row r="44" spans="5:21" x14ac:dyDescent="0.2">
      <c r="R44" s="105"/>
      <c r="S44" s="105"/>
      <c r="T44" s="105"/>
      <c r="U44" s="105"/>
    </row>
    <row r="45" spans="5:21" x14ac:dyDescent="0.2">
      <c r="E45" s="228"/>
      <c r="F45" s="228"/>
      <c r="G45" s="228"/>
      <c r="L45" s="228"/>
      <c r="M45" s="228"/>
      <c r="N45" s="228"/>
      <c r="O45" s="228"/>
      <c r="R45" s="105"/>
      <c r="S45" s="105"/>
      <c r="T45" s="105"/>
      <c r="U45" s="105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5"/>
      <c r="S46" s="105"/>
      <c r="T46" s="105"/>
      <c r="U46" s="105"/>
    </row>
    <row r="47" spans="5:21" x14ac:dyDescent="0.2">
      <c r="E47" s="94" t="s">
        <v>107</v>
      </c>
      <c r="F47" s="760"/>
      <c r="G47" s="760"/>
      <c r="L47" s="94" t="s">
        <v>107</v>
      </c>
      <c r="M47" s="760"/>
      <c r="N47" s="760"/>
      <c r="O47" s="760"/>
      <c r="R47" s="105"/>
      <c r="S47" s="105"/>
      <c r="T47" s="105"/>
      <c r="U47" s="105"/>
    </row>
    <row r="48" spans="5:21" x14ac:dyDescent="0.2">
      <c r="E48" s="94" t="str">
        <f>IF(CAIXA.Modo,"Função:","Cargo:")</f>
        <v>Cargo:</v>
      </c>
      <c r="F48" s="760"/>
      <c r="G48" s="760"/>
      <c r="L48" s="94" t="str">
        <f>IF(CAIXA.Modo,"Função:","Cargo:")</f>
        <v>Cargo:</v>
      </c>
      <c r="M48" s="760"/>
      <c r="N48" s="760"/>
      <c r="O48" s="760"/>
      <c r="R48" s="105"/>
      <c r="S48" s="105"/>
      <c r="T48" s="105"/>
      <c r="U48" s="105"/>
    </row>
    <row r="49" spans="5:21" x14ac:dyDescent="0.2">
      <c r="E49" s="94" t="str">
        <f>IF(CAIXA.Modo,"Matr:","")</f>
        <v/>
      </c>
      <c r="F49" s="760"/>
      <c r="G49" s="760"/>
      <c r="L49" s="94" t="str">
        <f>IF(CAIXA.Modo,"Matrícula:","")</f>
        <v/>
      </c>
      <c r="M49" s="760"/>
      <c r="N49" s="760"/>
      <c r="O49" s="760"/>
      <c r="R49" s="105"/>
      <c r="S49" s="105"/>
      <c r="T49" s="105"/>
      <c r="U49" s="105"/>
    </row>
    <row r="50" spans="5:21" x14ac:dyDescent="0.2">
      <c r="R50" s="105"/>
      <c r="S50" s="105"/>
      <c r="T50" s="105"/>
      <c r="U50" s="105"/>
    </row>
    <row r="51" spans="5:21" x14ac:dyDescent="0.2">
      <c r="R51" s="105"/>
      <c r="S51" s="105"/>
      <c r="T51" s="105"/>
      <c r="U51" s="105"/>
    </row>
    <row r="52" spans="5:21" x14ac:dyDescent="0.2">
      <c r="R52" s="105"/>
      <c r="S52" s="105"/>
      <c r="T52" s="105"/>
      <c r="U52" s="105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4" customWidth="1"/>
    <col min="2" max="2" width="15.7109375" style="104" customWidth="1"/>
    <col min="3" max="3" width="6.7109375" style="104" customWidth="1"/>
    <col min="4" max="5" width="20.7109375" style="104" customWidth="1"/>
    <col min="6" max="6" width="8.7109375" style="104" customWidth="1"/>
    <col min="7" max="7" width="12.7109375" style="104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3"/>
      <c r="C1" s="823"/>
      <c r="D1" s="65"/>
      <c r="E1" s="65"/>
      <c r="F1" s="65"/>
      <c r="G1" s="655" t="s">
        <v>139</v>
      </c>
    </row>
    <row r="2" spans="2:17" x14ac:dyDescent="0.2">
      <c r="B2" s="823"/>
      <c r="C2" s="823"/>
      <c r="D2" s="510"/>
      <c r="E2" s="510"/>
      <c r="F2" s="510"/>
      <c r="G2" s="656" t="s">
        <v>381</v>
      </c>
    </row>
    <row r="3" spans="2:17" ht="26.1" customHeight="1" x14ac:dyDescent="0.2">
      <c r="B3" s="823"/>
      <c r="C3" s="823"/>
      <c r="D3" s="511"/>
      <c r="E3" s="511"/>
      <c r="F3" s="511"/>
      <c r="G3" s="654"/>
      <c r="I3" s="651" t="s">
        <v>382</v>
      </c>
      <c r="J3" s="646"/>
      <c r="K3" s="646"/>
      <c r="L3" s="646"/>
    </row>
    <row r="4" spans="2:17" ht="12.75" customHeight="1" x14ac:dyDescent="0.2">
      <c r="B4" s="823"/>
      <c r="C4" s="823"/>
      <c r="D4" s="510"/>
      <c r="E4" s="510"/>
      <c r="F4" s="510"/>
      <c r="G4" s="510"/>
      <c r="I4" s="824" t="s">
        <v>383</v>
      </c>
      <c r="J4" s="820" t="s">
        <v>384</v>
      </c>
      <c r="K4" s="820" t="s">
        <v>385</v>
      </c>
      <c r="L4" s="820" t="s">
        <v>386</v>
      </c>
    </row>
    <row r="5" spans="2:17" x14ac:dyDescent="0.2">
      <c r="I5" s="824"/>
      <c r="J5" s="820"/>
      <c r="K5" s="820"/>
      <c r="L5" s="820"/>
    </row>
    <row r="6" spans="2:17" x14ac:dyDescent="0.2">
      <c r="B6" s="635" t="s">
        <v>387</v>
      </c>
      <c r="C6" s="821"/>
      <c r="D6" s="821"/>
      <c r="E6" s="635"/>
      <c r="F6" s="635"/>
      <c r="G6" s="644"/>
      <c r="I6" s="652" t="str">
        <f ca="1">IF(ROW(I6)-ROW(L$5)&gt;MAX(RRE!$V$13:$V$24),"",INDEX(RRE!$J$13:$J$24,MATCH(ROW(I6)-ROW(I$5),RRE!$V$13:$V$24,0)))</f>
        <v>LOTE 1</v>
      </c>
      <c r="J6" s="653">
        <f ca="1">IF(I6="","",SUMIF(RRE!$J$13:$J$24,OFÍCIO!$I6,RRE!$L$13:$L$24))</f>
        <v>192352.07</v>
      </c>
      <c r="K6" s="653">
        <f ca="1">IF(J6="","",SUMIF(RRE!$J$13:$J$24,OFÍCIO!$I6,RRE!$N$13:$N$24))</f>
        <v>0</v>
      </c>
      <c r="L6" s="653">
        <f ca="1">IF(K6="","",SUMIF(RRE!$J$13:$J$24,OFÍCIO!$I6,RRE!$O$13:$O$24))</f>
        <v>0</v>
      </c>
      <c r="N6" s="12"/>
    </row>
    <row r="7" spans="2:17" x14ac:dyDescent="0.2">
      <c r="B7" s="643"/>
      <c r="C7" s="643"/>
      <c r="D7" s="645"/>
      <c r="E7" s="645"/>
      <c r="F7" s="645"/>
      <c r="G7" s="645"/>
      <c r="I7" s="652" t="str">
        <f ca="1">IF(ROW(I7)-ROW(L$5)&gt;MAX(RRE!$V$13:$V$24),"",INDEX(RRE!$J$13:$J$24,MATCH(ROW(I7)-ROW(I$5),RRE!$V$13:$V$24,0)))</f>
        <v/>
      </c>
      <c r="J7" s="653" t="str">
        <f ca="1">IF(I7="","",SUMIF(RRE!$J$13:$J$24,OFÍCIO!$I7,RRE!$L$13:$L$24))</f>
        <v/>
      </c>
      <c r="K7" s="653" t="str">
        <f ca="1">IF(J7="","",SUMIF(RRE!$J$13:$J$24,OFÍCIO!$I7,RRE!$N$13:$N$24))</f>
        <v/>
      </c>
      <c r="L7" s="653" t="str">
        <f ca="1">IF(K7="","",SUMIF(RRE!$J$13:$J$24,OFÍCIO!$I7,RRE!$O$13:$O$24))</f>
        <v/>
      </c>
    </row>
    <row r="8" spans="2:17" x14ac:dyDescent="0.2">
      <c r="B8" s="822" t="str">
        <f>CONCATENATE(RRE!$E$35,", ",TEXT(RRE!$L$35,"dd"" de ""mmmm"" de ""aaaa"))</f>
        <v>CÉU AZUL/PR, 08 de agosto de 2023</v>
      </c>
      <c r="C8" s="822"/>
      <c r="D8" s="822"/>
      <c r="E8" s="822"/>
      <c r="F8" s="822"/>
      <c r="G8" s="822"/>
      <c r="H8" s="512"/>
      <c r="I8" s="652" t="str">
        <f ca="1">IF(ROW(I8)-ROW(L$5)&gt;MAX(RRE!$V$13:$V$24),"",INDEX(RRE!$J$13:$J$24,MATCH(ROW(I8)-ROW(I$5),RRE!$V$13:$V$24,0)))</f>
        <v/>
      </c>
      <c r="J8" s="653" t="str">
        <f ca="1">IF(I8="","",SUMIF(RRE!$J$13:$J$24,OFÍCIO!$I8,RRE!$L$13:$L$24))</f>
        <v/>
      </c>
      <c r="K8" s="653" t="str">
        <f ca="1">IF(J8="","",SUMIF(RRE!$J$13:$J$24,OFÍCIO!$I8,RRE!$N$13:$N$24))</f>
        <v/>
      </c>
      <c r="L8" s="653" t="str">
        <f ca="1">IF(K8="","",SUMIF(RRE!$J$13:$J$24,OFÍCIO!$I8,RRE!$O$13:$O$24))</f>
        <v/>
      </c>
      <c r="N8" s="512"/>
      <c r="O8" s="512"/>
      <c r="P8" s="512"/>
      <c r="Q8" s="512"/>
    </row>
    <row r="9" spans="2:17" x14ac:dyDescent="0.2">
      <c r="B9" s="636" t="s">
        <v>388</v>
      </c>
      <c r="C9" s="644"/>
      <c r="D9" s="644"/>
      <c r="E9" s="646"/>
      <c r="F9" s="646"/>
      <c r="G9" s="644"/>
      <c r="H9" s="512"/>
      <c r="I9" s="652" t="str">
        <f ca="1">IF(ROW(I9)-ROW(L$5)&gt;MAX(RRE!$V$13:$V$24),"",INDEX(RRE!$J$13:$J$24,MATCH(ROW(I9)-ROW(I$5),RRE!$V$13:$V$24,0)))</f>
        <v/>
      </c>
      <c r="J9" s="653" t="str">
        <f ca="1">IF(I9="","",SUMIF(RRE!$J$13:$J$24,OFÍCIO!$I9,RRE!$L$13:$L$24))</f>
        <v/>
      </c>
      <c r="K9" s="653" t="str">
        <f ca="1">IF(J9="","",SUMIF(RRE!$J$13:$J$24,OFÍCIO!$I9,RRE!$N$13:$N$24))</f>
        <v/>
      </c>
      <c r="L9" s="653" t="str">
        <f ca="1">IF(K9="","",SUMIF(RRE!$J$13:$J$24,OFÍCIO!$I9,RRE!$O$13:$O$24))</f>
        <v/>
      </c>
      <c r="N9" s="512"/>
      <c r="O9" s="512"/>
      <c r="P9" s="512"/>
      <c r="Q9" s="512"/>
    </row>
    <row r="10" spans="2:17" x14ac:dyDescent="0.2">
      <c r="B10" s="816" t="s">
        <v>389</v>
      </c>
      <c r="C10" s="816"/>
      <c r="D10" s="816"/>
      <c r="E10" s="646"/>
      <c r="F10" s="646"/>
      <c r="G10" s="644"/>
      <c r="H10" s="512"/>
      <c r="I10" s="652" t="str">
        <f ca="1">IF(ROW(I10)-ROW(L$5)&gt;MAX(RRE!$V$13:$V$24),"",INDEX(RRE!$J$13:$J$24,MATCH(ROW(I10)-ROW(I$5),RRE!$V$13:$V$24,0)))</f>
        <v/>
      </c>
      <c r="J10" s="653" t="str">
        <f ca="1">IF(I10="","",SUMIF(RRE!$J$13:$J$24,OFÍCIO!$I10,RRE!$L$13:$L$24))</f>
        <v/>
      </c>
      <c r="K10" s="653" t="str">
        <f ca="1">IF(J10="","",SUMIF(RRE!$J$13:$J$24,OFÍCIO!$I10,RRE!$N$13:$N$24))</f>
        <v/>
      </c>
      <c r="L10" s="653" t="str">
        <f ca="1">IF(K10="","",SUMIF(RRE!$J$13:$J$24,OFÍCIO!$I10,RRE!$O$13:$O$24))</f>
        <v/>
      </c>
      <c r="N10" s="512"/>
      <c r="O10" s="512"/>
      <c r="P10" s="512"/>
      <c r="Q10" s="512"/>
    </row>
    <row r="11" spans="2:17" x14ac:dyDescent="0.2">
      <c r="B11" s="637" t="s">
        <v>440</v>
      </c>
      <c r="C11" s="815"/>
      <c r="D11" s="815"/>
      <c r="E11" s="646"/>
      <c r="F11" s="646"/>
      <c r="G11" s="644"/>
      <c r="H11" s="512"/>
      <c r="I11" s="652" t="str">
        <f ca="1">IF(ROW(I11)-ROW(L$5)&gt;MAX(RRE!$V$13:$V$24),"",INDEX(RRE!$J$13:$J$24,MATCH(ROW(I11)-ROW(I$5),RRE!$V$13:$V$24,0)))</f>
        <v/>
      </c>
      <c r="J11" s="653" t="str">
        <f ca="1">IF(I11="","",SUMIF(RRE!$J$13:$J$24,OFÍCIO!$I11,RRE!$L$13:$L$24))</f>
        <v/>
      </c>
      <c r="K11" s="653" t="str">
        <f ca="1">IF(J11="","",SUMIF(RRE!$J$13:$J$24,OFÍCIO!$I11,RRE!$N$13:$N$24))</f>
        <v/>
      </c>
      <c r="L11" s="653" t="str">
        <f ca="1">IF(K11="","",SUMIF(RRE!$J$13:$J$24,OFÍCIO!$I11,RRE!$O$13:$O$24))</f>
        <v/>
      </c>
      <c r="N11" s="512"/>
      <c r="O11" s="512"/>
      <c r="P11" s="512"/>
      <c r="Q11" s="512"/>
    </row>
    <row r="12" spans="2:17" x14ac:dyDescent="0.2">
      <c r="B12" s="638"/>
      <c r="C12" s="638"/>
      <c r="D12" s="638"/>
      <c r="E12" s="638"/>
      <c r="F12" s="638"/>
      <c r="G12" s="644"/>
      <c r="H12" s="512"/>
      <c r="I12" s="652" t="str">
        <f ca="1">IF(ROW(I12)-ROW(L$5)&gt;MAX(RRE!$V$13:$V$24),"",INDEX(RRE!$J$13:$J$24,MATCH(ROW(I12)-ROW(I$5),RRE!$V$13:$V$24,0)))</f>
        <v/>
      </c>
      <c r="J12" s="653" t="str">
        <f ca="1">IF(I12="","",SUMIF(RRE!$J$13:$J$24,OFÍCIO!$I12,RRE!$L$13:$L$24))</f>
        <v/>
      </c>
      <c r="K12" s="653" t="str">
        <f ca="1">IF(J12="","",SUMIF(RRE!$J$13:$J$24,OFÍCIO!$I12,RRE!$N$13:$N$24))</f>
        <v/>
      </c>
      <c r="L12" s="653" t="str">
        <f ca="1">IF(K12="","",SUMIF(RRE!$J$13:$J$24,OFÍCIO!$I12,RRE!$O$13:$O$24))</f>
        <v/>
      </c>
      <c r="N12" s="512"/>
      <c r="O12" s="512"/>
      <c r="P12" s="512"/>
      <c r="Q12" s="512"/>
    </row>
    <row r="13" spans="2:17" x14ac:dyDescent="0.2">
      <c r="B13" s="644"/>
      <c r="C13" s="644"/>
      <c r="D13" s="644"/>
      <c r="E13" s="644"/>
      <c r="F13" s="644"/>
      <c r="G13" s="644"/>
      <c r="I13" s="652" t="str">
        <f ca="1">IF(ROW(I13)-ROW(L$5)&gt;MAX(RRE!$V$13:$V$24),"",INDEX(RRE!$J$13:$J$24,MATCH(ROW(I13)-ROW(I$5),RRE!$V$13:$V$24,0)))</f>
        <v/>
      </c>
      <c r="J13" s="653" t="str">
        <f ca="1">IF(I13="","",SUMIF(RRE!$J$13:$J$24,OFÍCIO!$I13,RRE!$L$13:$L$24))</f>
        <v/>
      </c>
      <c r="K13" s="653" t="str">
        <f ca="1">IF(J13="","",SUMIF(RRE!$J$13:$J$24,OFÍCIO!$I13,RRE!$N$13:$N$24))</f>
        <v/>
      </c>
      <c r="L13" s="653" t="str">
        <f ca="1">IF(K13="","",SUMIF(RRE!$J$13:$J$24,OFÍCIO!$I13,RRE!$O$13:$O$24))</f>
        <v/>
      </c>
    </row>
    <row r="14" spans="2:17" x14ac:dyDescent="0.2">
      <c r="B14" s="636" t="s">
        <v>390</v>
      </c>
      <c r="C14" s="816" t="str">
        <f ca="1">CONCATENATE(RRE.Numero,"ª"," Solicitação de ",IF(import.recurso="OGU","Desbloqueio","Desembolso")," de Recursos.")</f>
        <v>1ª Solicitação de Desembolso de Recursos.</v>
      </c>
      <c r="D14" s="816"/>
      <c r="E14" s="816"/>
      <c r="F14" s="816"/>
      <c r="G14" s="816"/>
      <c r="I14" s="652" t="str">
        <f ca="1">IF(ROW(I14)-ROW(L$5)&gt;MAX(RRE!$V$13:$V$24),"",INDEX(RRE!$J$13:$J$24,MATCH(ROW(I14)-ROW(I$5),RRE!$V$13:$V$24,0)))</f>
        <v/>
      </c>
      <c r="J14" s="653" t="str">
        <f ca="1">IF(I14="","",SUMIF(RRE!$J$13:$J$24,OFÍCIO!$I14,RRE!$L$13:$L$24))</f>
        <v/>
      </c>
      <c r="K14" s="653" t="str">
        <f ca="1">IF(J14="","",SUMIF(RRE!$J$13:$J$24,OFÍCIO!$I14,RRE!$N$13:$N$24))</f>
        <v/>
      </c>
      <c r="L14" s="653" t="str">
        <f ca="1">IF(K14="","",SUMIF(RRE!$J$13:$J$24,OFÍCIO!$I14,RRE!$O$13:$O$24))</f>
        <v/>
      </c>
    </row>
    <row r="15" spans="2:17" ht="12.75" customHeight="1" x14ac:dyDescent="0.2">
      <c r="B15" s="636" t="s">
        <v>391</v>
      </c>
      <c r="C15" s="817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7"/>
      <c r="E15" s="817"/>
      <c r="F15" s="817"/>
      <c r="G15" s="817"/>
      <c r="I15" s="652" t="str">
        <f ca="1">IF(ROW(I15)-ROW(L$5)&gt;MAX(RRE!$V$13:$V$24),"",INDEX(RRE!$J$13:$J$24,MATCH(ROW(I15)-ROW(I$5),RRE!$V$13:$V$24,0)))</f>
        <v/>
      </c>
      <c r="J15" s="653" t="str">
        <f ca="1">IF(I15="","",SUMIF(RRE!$J$13:$J$24,OFÍCIO!$I15,RRE!$L$13:$L$24))</f>
        <v/>
      </c>
      <c r="K15" s="653" t="str">
        <f ca="1">IF(J15="","",SUMIF(RRE!$J$13:$J$24,OFÍCIO!$I15,RRE!$N$13:$N$24))</f>
        <v/>
      </c>
      <c r="L15" s="653" t="str">
        <f ca="1">IF(K15="","",SUMIF(RRE!$J$13:$J$24,OFÍCIO!$I15,RRE!$O$13:$O$24))</f>
        <v/>
      </c>
    </row>
    <row r="16" spans="2:17" x14ac:dyDescent="0.2">
      <c r="B16" s="636"/>
      <c r="C16" s="817"/>
      <c r="D16" s="817"/>
      <c r="E16" s="817"/>
      <c r="F16" s="817"/>
      <c r="G16" s="817"/>
      <c r="I16" s="652" t="str">
        <f ca="1">IF(ROW(I16)-ROW(L$5)&gt;MAX(RRE!$V$13:$V$24),"",INDEX(RRE!$J$13:$J$24,MATCH(ROW(I16)-ROW(I$5),RRE!$V$13:$V$24,0)))</f>
        <v/>
      </c>
      <c r="J16" s="653" t="str">
        <f ca="1">IF(I16="","",SUMIF(RRE!$J$13:$J$24,OFÍCIO!$I16,RRE!$L$13:$L$24))</f>
        <v/>
      </c>
      <c r="K16" s="653" t="str">
        <f ca="1">IF(J16="","",SUMIF(RRE!$J$13:$J$24,OFÍCIO!$I16,RRE!$N$13:$N$24))</f>
        <v/>
      </c>
      <c r="L16" s="653" t="str">
        <f ca="1">IF(K16="","",SUMIF(RRE!$J$13:$J$24,OFÍCIO!$I16,RRE!$O$13:$O$24))</f>
        <v/>
      </c>
    </row>
    <row r="17" spans="2:12" x14ac:dyDescent="0.2">
      <c r="B17" s="644"/>
      <c r="C17" s="644"/>
      <c r="D17" s="644"/>
      <c r="E17" s="644"/>
      <c r="F17" s="644"/>
      <c r="G17" s="644"/>
      <c r="I17" s="652" t="str">
        <f ca="1">IF(ROW(I17)-ROW(L$5)&gt;MAX(RRE!$V$13:$V$24),"",INDEX(RRE!$J$13:$J$24,MATCH(ROW(I17)-ROW(I$5),RRE!$V$13:$V$24,0)))</f>
        <v/>
      </c>
      <c r="J17" s="653" t="str">
        <f ca="1">IF(I17="","",SUMIF(RRE!$J$13:$J$24,OFÍCIO!$I17,RRE!$L$13:$L$24))</f>
        <v/>
      </c>
      <c r="K17" s="653" t="str">
        <f ca="1">IF(J17="","",SUMIF(RRE!$J$13:$J$24,OFÍCIO!$I17,RRE!$N$13:$N$24))</f>
        <v/>
      </c>
      <c r="L17" s="653" t="str">
        <f ca="1">IF(K17="","",SUMIF(RRE!$J$13:$J$24,OFÍCIO!$I17,RRE!$O$13:$O$24))</f>
        <v/>
      </c>
    </row>
    <row r="18" spans="2:12" ht="12.75" customHeight="1" x14ac:dyDescent="0.2">
      <c r="B18" s="639" t="s">
        <v>392</v>
      </c>
      <c r="C18" s="818" t="str">
        <f>Import.DescLote</f>
        <v>REFORMA DO PAÇO MUNICIPAL</v>
      </c>
      <c r="D18" s="818"/>
      <c r="E18" s="818"/>
      <c r="F18" s="818"/>
      <c r="G18" s="818"/>
      <c r="I18" s="652" t="str">
        <f ca="1">IF(ROW(I18)-ROW(L$5)&gt;MAX(RRE!$V$13:$V$24),"",INDEX(RRE!$J$13:$J$24,MATCH(ROW(I18)-ROW(I$5),RRE!$V$13:$V$24,0)))</f>
        <v/>
      </c>
      <c r="J18" s="653" t="str">
        <f ca="1">IF(I18="","",SUMIF(RRE!$J$13:$J$24,OFÍCIO!$I18,RRE!$L$13:$L$24))</f>
        <v/>
      </c>
      <c r="K18" s="653" t="str">
        <f ca="1">IF(J18="","",SUMIF(RRE!$J$13:$J$24,OFÍCIO!$I18,RRE!$N$13:$N$24))</f>
        <v/>
      </c>
      <c r="L18" s="653" t="str">
        <f ca="1">IF(K18="","",SUMIF(RRE!$J$13:$J$24,OFÍCIO!$I18,RRE!$O$13:$O$24))</f>
        <v/>
      </c>
    </row>
    <row r="19" spans="2:12" ht="12.75" customHeight="1" x14ac:dyDescent="0.2">
      <c r="B19" s="813" t="s">
        <v>393</v>
      </c>
      <c r="C19" s="814" t="str">
        <f>Import.Proponente</f>
        <v>MUNICIPIO DE CÉU AZUL</v>
      </c>
      <c r="D19" s="814"/>
      <c r="E19" s="814"/>
      <c r="F19" s="814"/>
      <c r="G19" s="814"/>
      <c r="I19" s="652" t="str">
        <f ca="1">IF(ROW(I19)-ROW(L$5)&gt;MAX(RRE!$V$13:$V$24),"",INDEX(RRE!$J$13:$J$24,MATCH(ROW(I19)-ROW(I$5),RRE!$V$13:$V$24,0)))</f>
        <v/>
      </c>
      <c r="J19" s="653" t="str">
        <f ca="1">IF(I19="","",SUMIF(RRE!$J$13:$J$24,OFÍCIO!$I19,RRE!$L$13:$L$24))</f>
        <v/>
      </c>
      <c r="K19" s="653" t="str">
        <f ca="1">IF(J19="","",SUMIF(RRE!$J$13:$J$24,OFÍCIO!$I19,RRE!$N$13:$N$24))</f>
        <v/>
      </c>
      <c r="L19" s="653" t="str">
        <f ca="1">IF(K19="","",SUMIF(RRE!$J$13:$J$24,OFÍCIO!$I19,RRE!$O$13:$O$24))</f>
        <v/>
      </c>
    </row>
    <row r="20" spans="2:12" x14ac:dyDescent="0.2">
      <c r="B20" s="813"/>
      <c r="C20" s="814"/>
      <c r="D20" s="814"/>
      <c r="E20" s="814"/>
      <c r="F20" s="814"/>
      <c r="G20" s="814"/>
      <c r="I20" s="652" t="str">
        <f ca="1">IF(ROW(I20)-ROW(L$5)&gt;MAX(RRE!$V$13:$V$24),"",INDEX(RRE!$J$13:$J$24,MATCH(ROW(I20)-ROW(I$5),RRE!$V$13:$V$24,0)))</f>
        <v/>
      </c>
      <c r="J20" s="653" t="str">
        <f ca="1">IF(I20="","",SUMIF(RRE!$J$13:$J$24,OFÍCIO!$I20,RRE!$L$13:$L$24))</f>
        <v/>
      </c>
      <c r="K20" s="653" t="str">
        <f ca="1">IF(J20="","",SUMIF(RRE!$J$13:$J$24,OFÍCIO!$I20,RRE!$N$13:$N$24))</f>
        <v/>
      </c>
      <c r="L20" s="653" t="str">
        <f ca="1">IF(K20="","",SUMIF(RRE!$J$13:$J$24,OFÍCIO!$I20,RRE!$O$13:$O$24))</f>
        <v/>
      </c>
    </row>
    <row r="21" spans="2:12" x14ac:dyDescent="0.2">
      <c r="B21" s="644"/>
      <c r="C21" s="644"/>
      <c r="D21" s="644"/>
      <c r="E21" s="644"/>
      <c r="F21" s="644"/>
      <c r="G21" s="644"/>
      <c r="I21" s="652" t="str">
        <f ca="1">IF(ROW(I21)-ROW(L$5)&gt;MAX(RRE!$V$13:$V$24),"",INDEX(RRE!$J$13:$J$24,MATCH(ROW(I21)-ROW(I$5),RRE!$V$13:$V$24,0)))</f>
        <v/>
      </c>
      <c r="J21" s="653" t="str">
        <f ca="1">IF(I21="","",SUMIF(RRE!$J$13:$J$24,OFÍCIO!$I21,RRE!$L$13:$L$24))</f>
        <v/>
      </c>
      <c r="K21" s="653" t="str">
        <f ca="1">IF(J21="","",SUMIF(RRE!$J$13:$J$24,OFÍCIO!$I21,RRE!$N$13:$N$24))</f>
        <v/>
      </c>
      <c r="L21" s="653" t="str">
        <f ca="1">IF(K21="","",SUMIF(RRE!$J$13:$J$24,OFÍCIO!$I21,RRE!$O$13:$O$24))</f>
        <v/>
      </c>
    </row>
    <row r="22" spans="2:12" x14ac:dyDescent="0.2">
      <c r="B22" s="646" t="str">
        <f>IF(B11="GIGOV","Senhor Gerente","Senhor Superintendente")</f>
        <v>Senhor Superintendente</v>
      </c>
      <c r="C22" s="646"/>
      <c r="D22" s="644"/>
      <c r="E22" s="644"/>
      <c r="F22" s="644"/>
      <c r="G22" s="644"/>
      <c r="I22" s="652" t="str">
        <f ca="1">IF(ROW(I22)-ROW(L$5)&gt;MAX(RRE!$V$13:$V$24),"",INDEX(RRE!$J$13:$J$24,MATCH(ROW(I22)-ROW(I$5),RRE!$V$13:$V$24,0)))</f>
        <v/>
      </c>
      <c r="J22" s="653" t="str">
        <f ca="1">IF(I22="","",SUMIF(RRE!$J$13:$J$24,OFÍCIO!$I22,RRE!$L$13:$L$24))</f>
        <v/>
      </c>
      <c r="K22" s="653" t="str">
        <f ca="1">IF(J22="","",SUMIF(RRE!$J$13:$J$24,OFÍCIO!$I22,RRE!$N$13:$N$24))</f>
        <v/>
      </c>
      <c r="L22" s="653" t="str">
        <f ca="1">IF(K22="","",SUMIF(RRE!$J$13:$J$24,OFÍCIO!$I22,RRE!$O$13:$O$24))</f>
        <v/>
      </c>
    </row>
    <row r="23" spans="2:12" x14ac:dyDescent="0.2">
      <c r="B23" s="644"/>
      <c r="C23" s="644"/>
      <c r="D23" s="644"/>
      <c r="E23" s="644"/>
      <c r="F23" s="644"/>
      <c r="G23" s="644"/>
      <c r="I23" s="652" t="str">
        <f ca="1">IF(ROW(I23)-ROW(L$5)&gt;MAX(RRE!$V$13:$V$24),"",INDEX(RRE!$J$13:$J$24,MATCH(ROW(I23)-ROW(I$5),RRE!$V$13:$V$24,0)))</f>
        <v/>
      </c>
      <c r="J23" s="653" t="str">
        <f ca="1">IF(I23="","",SUMIF(RRE!$J$13:$J$24,OFÍCIO!$I23,RRE!$L$13:$L$24))</f>
        <v/>
      </c>
      <c r="K23" s="653" t="str">
        <f ca="1">IF(J23="","",SUMIF(RRE!$J$13:$J$24,OFÍCIO!$I23,RRE!$N$13:$N$24))</f>
        <v/>
      </c>
      <c r="L23" s="653" t="str">
        <f ca="1">IF(K23="","",SUMIF(RRE!$J$13:$J$24,OFÍCIO!$I23,RRE!$O$13:$O$24))</f>
        <v/>
      </c>
    </row>
    <row r="24" spans="2:12" ht="12.75" customHeight="1" x14ac:dyDescent="0.2">
      <c r="B24" s="811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1"/>
      <c r="D24" s="811"/>
      <c r="E24" s="811"/>
      <c r="F24" s="811"/>
      <c r="G24" s="811"/>
      <c r="I24" s="652" t="str">
        <f ca="1">IF(ROW(I24)-ROW(L$5)&gt;MAX(RRE!$V$13:$V$24),"",INDEX(RRE!$J$13:$J$24,MATCH(ROW(I24)-ROW(I$5),RRE!$V$13:$V$24,0)))</f>
        <v/>
      </c>
      <c r="J24" s="653" t="str">
        <f ca="1">IF(I24="","",SUMIF(RRE!$J$13:$J$24,OFÍCIO!$I24,RRE!$L$13:$L$24))</f>
        <v/>
      </c>
      <c r="K24" s="653" t="str">
        <f ca="1">IF(J24="","",SUMIF(RRE!$J$13:$J$24,OFÍCIO!$I24,RRE!$N$13:$N$24))</f>
        <v/>
      </c>
      <c r="L24" s="653" t="str">
        <f ca="1">IF(K24="","",SUMIF(RRE!$J$13:$J$24,OFÍCIO!$I24,RRE!$O$13:$O$24))</f>
        <v/>
      </c>
    </row>
    <row r="25" spans="2:12" x14ac:dyDescent="0.2">
      <c r="B25" s="811"/>
      <c r="C25" s="811"/>
      <c r="D25" s="811"/>
      <c r="E25" s="811"/>
      <c r="F25" s="811"/>
      <c r="G25" s="811"/>
      <c r="I25" s="652" t="str">
        <f ca="1">IF(ROW(I25)-ROW(L$5)&gt;MAX(RRE!$V$13:$V$24),"",INDEX(RRE!$J$13:$J$24,MATCH(ROW(I25)-ROW(I$5),RRE!$V$13:$V$24,0)))</f>
        <v/>
      </c>
      <c r="J25" s="653" t="str">
        <f ca="1">IF(I25="","",SUMIF(RRE!$J$13:$J$24,OFÍCIO!$I25,RRE!$L$13:$L$24))</f>
        <v/>
      </c>
      <c r="K25" s="653" t="str">
        <f ca="1">IF(J25="","",SUMIF(RRE!$J$13:$J$24,OFÍCIO!$I25,RRE!$N$13:$N$24))</f>
        <v/>
      </c>
      <c r="L25" s="653" t="str">
        <f ca="1">IF(K25="","",SUMIF(RRE!$J$13:$J$24,OFÍCIO!$I25,RRE!$O$13:$O$24))</f>
        <v/>
      </c>
    </row>
    <row r="26" spans="2:12" x14ac:dyDescent="0.2">
      <c r="B26" s="811"/>
      <c r="C26" s="811"/>
      <c r="D26" s="811"/>
      <c r="E26" s="811"/>
      <c r="F26" s="811"/>
      <c r="G26" s="811"/>
      <c r="I26" s="652" t="str">
        <f ca="1">IF(ROW(I26)-ROW(L$5)&gt;MAX(RRE!$V$13:$V$24),"",INDEX(RRE!$J$13:$J$24,MATCH(ROW(I26)-ROW(I$5),RRE!$V$13:$V$24,0)))</f>
        <v/>
      </c>
      <c r="J26" s="653" t="str">
        <f ca="1">IF(I26="","",SUMIF(RRE!$J$13:$J$24,OFÍCIO!$I26,RRE!$L$13:$L$24))</f>
        <v/>
      </c>
      <c r="K26" s="653" t="str">
        <f ca="1">IF(J26="","",SUMIF(RRE!$J$13:$J$24,OFÍCIO!$I26,RRE!$N$13:$N$24))</f>
        <v/>
      </c>
      <c r="L26" s="653" t="str">
        <f ca="1">IF(K26="","",SUMIF(RRE!$J$13:$J$24,OFÍCIO!$I26,RRE!$O$13:$O$24))</f>
        <v/>
      </c>
    </row>
    <row r="27" spans="2:12" x14ac:dyDescent="0.2">
      <c r="B27" s="644"/>
      <c r="C27" s="644"/>
      <c r="D27" s="644"/>
      <c r="E27" s="644"/>
      <c r="F27" s="644"/>
      <c r="G27" s="644"/>
      <c r="I27" s="652" t="str">
        <f ca="1">IF(ROW(I27)-ROW(L$5)&gt;MAX(RRE!$V$13:$V$24),"",INDEX(RRE!$J$13:$J$24,MATCH(ROW(I27)-ROW(I$5),RRE!$V$13:$V$24,0)))</f>
        <v/>
      </c>
      <c r="J27" s="653" t="str">
        <f ca="1">IF(I27="","",SUMIF(RRE!$J$13:$J$24,OFÍCIO!$I27,RRE!$L$13:$L$24))</f>
        <v/>
      </c>
      <c r="K27" s="653" t="str">
        <f ca="1">IF(J27="","",SUMIF(RRE!$J$13:$J$24,OFÍCIO!$I27,RRE!$N$13:$N$24))</f>
        <v/>
      </c>
      <c r="L27" s="653" t="str">
        <f ca="1">IF(K27="","",SUMIF(RRE!$J$13:$J$24,OFÍCIO!$I27,RRE!$O$13:$O$24))</f>
        <v/>
      </c>
    </row>
    <row r="28" spans="2:12" ht="12.75" customHeight="1" x14ac:dyDescent="0.2">
      <c r="B28" s="812"/>
      <c r="C28" s="812"/>
      <c r="D28" s="819" t="s">
        <v>394</v>
      </c>
      <c r="E28" s="819" t="str">
        <f ca="1">"Evolução da "&amp;RRE.Numero&amp;"ª Medição"</f>
        <v>Evolução da 1ª Medição</v>
      </c>
      <c r="F28" s="819" t="s">
        <v>395</v>
      </c>
      <c r="G28" s="819"/>
      <c r="I28" s="652" t="str">
        <f ca="1">IF(ROW(I28)-ROW(L$5)&gt;MAX(RRE!$V$13:$V$24),"",INDEX(RRE!$J$13:$J$24,MATCH(ROW(I28)-ROW(I$5),RRE!$V$13:$V$24,0)))</f>
        <v/>
      </c>
      <c r="J28" s="653" t="str">
        <f ca="1">IF(I28="","",SUMIF(RRE!$J$13:$J$24,OFÍCIO!$I28,RRE!$L$13:$L$24))</f>
        <v/>
      </c>
      <c r="K28" s="653" t="str">
        <f ca="1">IF(J28="","",SUMIF(RRE!$J$13:$J$24,OFÍCIO!$I28,RRE!$N$13:$N$24))</f>
        <v/>
      </c>
      <c r="L28" s="653" t="str">
        <f ca="1">IF(K28="","",SUMIF(RRE!$J$13:$J$24,OFÍCIO!$I28,RRE!$O$13:$O$24))</f>
        <v/>
      </c>
    </row>
    <row r="29" spans="2:12" x14ac:dyDescent="0.2">
      <c r="B29" s="812"/>
      <c r="C29" s="812"/>
      <c r="D29" s="819"/>
      <c r="E29" s="819"/>
      <c r="F29" s="819"/>
      <c r="G29" s="819"/>
      <c r="I29" s="652" t="str">
        <f ca="1">IF(ROW(I29)-ROW(L$5)&gt;MAX(RRE!$V$13:$V$24),"",INDEX(RRE!$J$13:$J$24,MATCH(ROW(I29)-ROW(I$5),RRE!$V$13:$V$24,0)))</f>
        <v/>
      </c>
      <c r="J29" s="653" t="str">
        <f ca="1">IF(I29="","",SUMIF(RRE!$J$13:$J$24,OFÍCIO!$I29,RRE!$L$13:$L$24))</f>
        <v/>
      </c>
      <c r="K29" s="653" t="str">
        <f ca="1">IF(J29="","",SUMIF(RRE!$J$13:$J$24,OFÍCIO!$I29,RRE!$N$13:$N$24))</f>
        <v/>
      </c>
      <c r="L29" s="653" t="str">
        <f ca="1">IF(K29="","",SUMIF(RRE!$J$13:$J$24,OFÍCIO!$I29,RRE!$O$13:$O$24))</f>
        <v/>
      </c>
    </row>
    <row r="30" spans="2:12" x14ac:dyDescent="0.2">
      <c r="B30" s="807" t="str">
        <f>IF(import.recurso="FGTS","Financiamento:","Repasse:")</f>
        <v>Repasse:</v>
      </c>
      <c r="C30" s="807"/>
      <c r="D30" s="647">
        <f ca="1">RRE!L25</f>
        <v>0</v>
      </c>
      <c r="E30" s="647">
        <f ca="1">RRE!N25</f>
        <v>0</v>
      </c>
      <c r="F30" s="808">
        <f ca="1">RRE!O25</f>
        <v>0</v>
      </c>
      <c r="G30" s="808"/>
      <c r="I30" s="652" t="str">
        <f ca="1">IF(ROW(I30)-ROW(L$5)&gt;MAX(RRE!$V$13:$V$24),"",INDEX(RRE!$J$13:$J$24,MATCH(ROW(I30)-ROW(I$5),RRE!$V$13:$V$24,0)))</f>
        <v/>
      </c>
      <c r="J30" s="653" t="str">
        <f ca="1">IF(I30="","",SUMIF(RRE!$J$13:$J$24,OFÍCIO!$I30,RRE!$L$13:$L$24))</f>
        <v/>
      </c>
      <c r="K30" s="653" t="str">
        <f ca="1">IF(J30="","",SUMIF(RRE!$J$13:$J$24,OFÍCIO!$I30,RRE!$N$13:$N$24))</f>
        <v/>
      </c>
      <c r="L30" s="653" t="str">
        <f ca="1">IF(K30="","",SUMIF(RRE!$J$13:$J$24,OFÍCIO!$I30,RRE!$O$13:$O$24))</f>
        <v/>
      </c>
    </row>
    <row r="31" spans="2:12" x14ac:dyDescent="0.2">
      <c r="B31" s="807" t="s">
        <v>396</v>
      </c>
      <c r="C31" s="807"/>
      <c r="D31" s="647">
        <f ca="1">RRE!L26</f>
        <v>192352.07</v>
      </c>
      <c r="E31" s="647">
        <f ca="1">RRE!N26</f>
        <v>0</v>
      </c>
      <c r="F31" s="808">
        <f ca="1">RRE!O26</f>
        <v>0</v>
      </c>
      <c r="G31" s="808"/>
      <c r="I31" s="652" t="str">
        <f ca="1">IF(ROW(I31)-ROW(L$5)&gt;MAX(RRE!$V$13:$V$24),"",INDEX(RRE!$J$13:$J$24,MATCH(ROW(I31)-ROW(I$5),RRE!$V$13:$V$24,0)))</f>
        <v/>
      </c>
      <c r="J31" s="653" t="str">
        <f ca="1">IF(I31="","",SUMIF(RRE!$J$13:$J$24,OFÍCIO!$I31,RRE!$L$13:$L$24))</f>
        <v/>
      </c>
      <c r="K31" s="653" t="str">
        <f ca="1">IF(J31="","",SUMIF(RRE!$J$13:$J$24,OFÍCIO!$I31,RRE!$N$13:$N$24))</f>
        <v/>
      </c>
      <c r="L31" s="653" t="str">
        <f ca="1">IF(K31="","",SUMIF(RRE!$J$13:$J$24,OFÍCIO!$I31,RRE!$O$13:$O$24))</f>
        <v/>
      </c>
    </row>
    <row r="32" spans="2:12" x14ac:dyDescent="0.2">
      <c r="B32" s="807" t="s">
        <v>284</v>
      </c>
      <c r="C32" s="807"/>
      <c r="D32" s="647">
        <f ca="1">RRE!L27</f>
        <v>0</v>
      </c>
      <c r="E32" s="647">
        <f ca="1">RRE!N27</f>
        <v>0</v>
      </c>
      <c r="F32" s="808">
        <f ca="1">RRE!O27</f>
        <v>0</v>
      </c>
      <c r="G32" s="808"/>
      <c r="I32" s="652" t="str">
        <f ca="1">IF(ROW(I32)-ROW(L$5)&gt;MAX(RRE!$V$13:$V$24),"",INDEX(RRE!$J$13:$J$24,MATCH(ROW(I32)-ROW(I$5),RRE!$V$13:$V$24,0)))</f>
        <v/>
      </c>
      <c r="J32" s="653" t="str">
        <f ca="1">IF(I32="","",SUMIF(RRE!$J$13:$J$24,OFÍCIO!$I32,RRE!$L$13:$L$24))</f>
        <v/>
      </c>
      <c r="K32" s="653" t="str">
        <f ca="1">IF(J32="","",SUMIF(RRE!$J$13:$J$24,OFÍCIO!$I32,RRE!$N$13:$N$24))</f>
        <v/>
      </c>
      <c r="L32" s="653" t="str">
        <f ca="1">IF(K32="","",SUMIF(RRE!$J$13:$J$24,OFÍCIO!$I32,RRE!$O$13:$O$24))</f>
        <v/>
      </c>
    </row>
    <row r="33" spans="2:12" x14ac:dyDescent="0.2">
      <c r="B33" s="807" t="s">
        <v>285</v>
      </c>
      <c r="C33" s="807"/>
      <c r="D33" s="647">
        <f ca="1">RRE!L28</f>
        <v>192352.07</v>
      </c>
      <c r="E33" s="647">
        <f ca="1">RRE!N28</f>
        <v>0</v>
      </c>
      <c r="F33" s="808">
        <f ca="1">RRE!O28</f>
        <v>0</v>
      </c>
      <c r="G33" s="808"/>
      <c r="I33" s="652" t="str">
        <f ca="1">IF(ROW(I33)-ROW(L$5)&gt;MAX(RRE!$V$13:$V$24),"",INDEX(RRE!$J$13:$J$24,MATCH(ROW(I33)-ROW(I$5),RRE!$V$13:$V$24,0)))</f>
        <v/>
      </c>
      <c r="J33" s="653" t="str">
        <f ca="1">IF(I33="","",SUMIF(RRE!$J$13:$J$24,OFÍCIO!$I33,RRE!$L$13:$L$24))</f>
        <v/>
      </c>
      <c r="K33" s="653" t="str">
        <f ca="1">IF(J33="","",SUMIF(RRE!$J$13:$J$24,OFÍCIO!$I33,RRE!$N$13:$N$24))</f>
        <v/>
      </c>
      <c r="L33" s="653" t="str">
        <f ca="1">IF(K33="","",SUMIF(RRE!$J$13:$J$24,OFÍCIO!$I33,RRE!$O$13:$O$24))</f>
        <v/>
      </c>
    </row>
    <row r="34" spans="2:12" x14ac:dyDescent="0.2">
      <c r="B34" s="807" t="s">
        <v>397</v>
      </c>
      <c r="C34" s="807"/>
      <c r="D34" s="648" t="s">
        <v>165</v>
      </c>
      <c r="E34" s="649">
        <f ca="1">RRE!$N$28/(RRE!$L$28+10^-12)</f>
        <v>0</v>
      </c>
      <c r="F34" s="809">
        <f ca="1">RRE!P24</f>
        <v>0</v>
      </c>
      <c r="G34" s="809"/>
      <c r="I34" s="652" t="str">
        <f ca="1">IF(ROW(I34)-ROW(L$5)&gt;MAX(RRE!$V$13:$V$24),"",INDEX(RRE!$J$13:$J$24,MATCH(ROW(I34)-ROW(I$5),RRE!$V$13:$V$24,0)))</f>
        <v/>
      </c>
      <c r="J34" s="653" t="str">
        <f ca="1">IF(I34="","",SUMIF(RRE!$J$13:$J$24,OFÍCIO!$I34,RRE!$L$13:$L$24))</f>
        <v/>
      </c>
      <c r="K34" s="653" t="str">
        <f ca="1">IF(J34="","",SUMIF(RRE!$J$13:$J$24,OFÍCIO!$I34,RRE!$N$13:$N$24))</f>
        <v/>
      </c>
      <c r="L34" s="653" t="str">
        <f ca="1">IF(K34="","",SUMIF(RRE!$J$13:$J$24,OFÍCIO!$I34,RRE!$O$13:$O$24))</f>
        <v/>
      </c>
    </row>
    <row r="35" spans="2:12" x14ac:dyDescent="0.2">
      <c r="B35" s="640"/>
      <c r="C35" s="644"/>
      <c r="D35" s="644"/>
      <c r="E35" s="644"/>
      <c r="F35" s="644"/>
      <c r="G35" s="644"/>
      <c r="I35" s="652" t="str">
        <f ca="1">IF(ROW(I35)-ROW(L$5)&gt;MAX(RRE!$V$13:$V$24),"",INDEX(RRE!$J$13:$J$24,MATCH(ROW(I35)-ROW(I$5),RRE!$V$13:$V$24,0)))</f>
        <v/>
      </c>
      <c r="J35" s="653" t="str">
        <f ca="1">IF(I35="","",SUMIF(RRE!$J$13:$J$24,OFÍCIO!$I35,RRE!$L$13:$L$24))</f>
        <v/>
      </c>
      <c r="K35" s="653" t="str">
        <f ca="1">IF(J35="","",SUMIF(RRE!$J$13:$J$24,OFÍCIO!$I35,RRE!$N$13:$N$24))</f>
        <v/>
      </c>
      <c r="L35" s="653" t="str">
        <f ca="1">IF(K35="","",SUMIF(RRE!$J$13:$J$24,OFÍCIO!$I35,RRE!$O$13:$O$24))</f>
        <v/>
      </c>
    </row>
    <row r="36" spans="2:12" x14ac:dyDescent="0.2">
      <c r="B36" s="640"/>
      <c r="C36" s="640"/>
      <c r="D36" s="640"/>
      <c r="E36" s="640"/>
      <c r="F36" s="640"/>
      <c r="G36" s="644"/>
      <c r="I36" s="652" t="str">
        <f ca="1">IF(ROW(I36)-ROW(L$5)&gt;MAX(RRE!$V$13:$V$24),"",INDEX(RRE!$J$13:$J$24,MATCH(ROW(I36)-ROW(I$5),RRE!$V$13:$V$24,0)))</f>
        <v/>
      </c>
      <c r="J36" s="653" t="str">
        <f ca="1">IF(I36="","",SUMIF(RRE!$J$13:$J$24,OFÍCIO!$I36,RRE!$L$13:$L$24))</f>
        <v/>
      </c>
      <c r="K36" s="653" t="str">
        <f ca="1">IF(J36="","",SUMIF(RRE!$J$13:$J$24,OFÍCIO!$I36,RRE!$N$13:$N$24))</f>
        <v/>
      </c>
      <c r="L36" s="653" t="str">
        <f ca="1">IF(K36="","",SUMIF(RRE!$J$13:$J$24,OFÍCIO!$I36,RRE!$O$13:$O$24))</f>
        <v/>
      </c>
    </row>
    <row r="37" spans="2:12" x14ac:dyDescent="0.2">
      <c r="B37" s="810" t="str">
        <f ca="1">IF(RRE.Numero&gt;1,"2. Encaminhamos ainda a documentação relativa à prestação de contas da etapa físico-financeira anterior.","")</f>
        <v/>
      </c>
      <c r="C37" s="810"/>
      <c r="D37" s="810"/>
      <c r="E37" s="810"/>
      <c r="F37" s="810"/>
      <c r="G37" s="810"/>
      <c r="I37" s="652" t="str">
        <f ca="1">IF(ROW(I37)-ROW(L$5)&gt;MAX(RRE!$V$13:$V$24),"",INDEX(RRE!$J$13:$J$24,MATCH(ROW(I37)-ROW(I$5),RRE!$V$13:$V$24,0)))</f>
        <v/>
      </c>
      <c r="J37" s="653" t="str">
        <f ca="1">IF(I37="","",SUMIF(RRE!$J$13:$J$24,OFÍCIO!$I37,RRE!$L$13:$L$24))</f>
        <v/>
      </c>
      <c r="K37" s="653" t="str">
        <f ca="1">IF(J37="","",SUMIF(RRE!$J$13:$J$24,OFÍCIO!$I37,RRE!$N$13:$N$24))</f>
        <v/>
      </c>
      <c r="L37" s="653" t="str">
        <f ca="1">IF(K37="","",SUMIF(RRE!$J$13:$J$24,OFÍCIO!$I37,RRE!$O$13:$O$24))</f>
        <v/>
      </c>
    </row>
    <row r="38" spans="2:12" x14ac:dyDescent="0.2">
      <c r="B38" s="810"/>
      <c r="C38" s="810"/>
      <c r="D38" s="810"/>
      <c r="E38" s="810"/>
      <c r="F38" s="810"/>
      <c r="G38" s="810"/>
      <c r="I38" s="652" t="str">
        <f ca="1">IF(ROW(I38)-ROW(L$5)&gt;MAX(RRE!$V$13:$V$24),"",INDEX(RRE!$J$13:$J$24,MATCH(ROW(I38)-ROW(I$5),RRE!$V$13:$V$24,0)))</f>
        <v/>
      </c>
      <c r="J38" s="653" t="str">
        <f ca="1">IF(I38="","",SUMIF(RRE!$J$13:$J$24,OFÍCIO!$I38,RRE!$L$13:$L$24))</f>
        <v/>
      </c>
      <c r="K38" s="653" t="str">
        <f ca="1">IF(J38="","",SUMIF(RRE!$J$13:$J$24,OFÍCIO!$I38,RRE!$N$13:$N$24))</f>
        <v/>
      </c>
      <c r="L38" s="653" t="str">
        <f ca="1">IF(K38="","",SUMIF(RRE!$J$13:$J$24,OFÍCIO!$I38,RRE!$O$13:$O$24))</f>
        <v/>
      </c>
    </row>
    <row r="39" spans="2:12" ht="12.75" customHeight="1" x14ac:dyDescent="0.2">
      <c r="B39" s="810" t="str">
        <f ca="1">IF(AND(RRE.Numero&gt;1,NOT(ISBLANK(Import.SICONV))),"3. Na oportunidade, informamos que a execução financeira da parcela anterior está devidamente comprovada no SICONV.","")</f>
        <v/>
      </c>
      <c r="C39" s="810"/>
      <c r="D39" s="810"/>
      <c r="E39" s="810"/>
      <c r="F39" s="810"/>
      <c r="G39" s="810"/>
      <c r="I39" s="652" t="str">
        <f ca="1">IF(ROW(I39)-ROW(L$5)&gt;MAX(RRE!$V$13:$V$24),"",INDEX(RRE!$J$13:$J$24,MATCH(ROW(I39)-ROW(I$5),RRE!$V$13:$V$24,0)))</f>
        <v/>
      </c>
      <c r="J39" s="653" t="str">
        <f ca="1">IF(I39="","",SUMIF(RRE!$J$13:$J$24,OFÍCIO!$I39,RRE!$L$13:$L$24))</f>
        <v/>
      </c>
      <c r="K39" s="653" t="str">
        <f ca="1">IF(J39="","",SUMIF(RRE!$J$13:$J$24,OFÍCIO!$I39,RRE!$N$13:$N$24))</f>
        <v/>
      </c>
      <c r="L39" s="653" t="str">
        <f ca="1">IF(K39="","",SUMIF(RRE!$J$13:$J$24,OFÍCIO!$I39,RRE!$O$13:$O$24))</f>
        <v/>
      </c>
    </row>
    <row r="40" spans="2:12" x14ac:dyDescent="0.2">
      <c r="B40" s="810"/>
      <c r="C40" s="810"/>
      <c r="D40" s="810"/>
      <c r="E40" s="810"/>
      <c r="F40" s="810"/>
      <c r="G40" s="810"/>
      <c r="I40" s="652" t="str">
        <f ca="1">IF(ROW(I40)-ROW(L$5)&gt;MAX(RRE!$V$13:$V$24),"",INDEX(RRE!$J$13:$J$24,MATCH(ROW(I40)-ROW(I$5),RRE!$V$13:$V$24,0)))</f>
        <v/>
      </c>
      <c r="J40" s="653" t="str">
        <f ca="1">IF(I40="","",SUMIF(RRE!$J$13:$J$24,OFÍCIO!$I40,RRE!$L$13:$L$24))</f>
        <v/>
      </c>
      <c r="K40" s="653" t="str">
        <f ca="1">IF(J40="","",SUMIF(RRE!$J$13:$J$24,OFÍCIO!$I40,RRE!$N$13:$N$24))</f>
        <v/>
      </c>
      <c r="L40" s="653" t="str">
        <f ca="1">IF(K40="","",SUMIF(RRE!$J$13:$J$24,OFÍCIO!$I40,RRE!$O$13:$O$24))</f>
        <v/>
      </c>
    </row>
    <row r="41" spans="2:12" x14ac:dyDescent="0.2">
      <c r="B41" s="641"/>
      <c r="C41" s="637"/>
      <c r="D41" s="637"/>
      <c r="E41" s="637"/>
      <c r="F41" s="637"/>
      <c r="G41" s="637"/>
      <c r="I41" s="652" t="str">
        <f ca="1">IF(ROW(I41)-ROW(L$5)&gt;MAX(RRE!$V$13:$V$24),"",INDEX(RRE!$J$13:$J$24,MATCH(ROW(I41)-ROW(I$5),RRE!$V$13:$V$24,0)))</f>
        <v/>
      </c>
      <c r="J41" s="653" t="str">
        <f ca="1">IF(I41="","",SUMIF(RRE!$J$13:$J$24,OFÍCIO!$I41,RRE!$L$13:$L$24))</f>
        <v/>
      </c>
      <c r="K41" s="653" t="str">
        <f ca="1">IF(J41="","",SUMIF(RRE!$J$13:$J$24,OFÍCIO!$I41,RRE!$N$13:$N$24))</f>
        <v/>
      </c>
      <c r="L41" s="653" t="str">
        <f ca="1">IF(K41="","",SUMIF(RRE!$J$13:$J$24,OFÍCIO!$I41,RRE!$O$13:$O$24))</f>
        <v/>
      </c>
    </row>
    <row r="42" spans="2:12" ht="12.75" customHeight="1" x14ac:dyDescent="0.2">
      <c r="B42" s="810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10"/>
      <c r="D42" s="810"/>
      <c r="E42" s="810"/>
      <c r="F42" s="810"/>
      <c r="G42" s="810"/>
      <c r="I42" s="652" t="str">
        <f ca="1">IF(ROW(I42)-ROW(L$5)&gt;MAX(RRE!$V$13:$V$24),"",INDEX(RRE!$J$13:$J$24,MATCH(ROW(I42)-ROW(I$5),RRE!$V$13:$V$24,0)))</f>
        <v/>
      </c>
      <c r="J42" s="653" t="str">
        <f ca="1">IF(I42="","",SUMIF(RRE!$J$13:$J$24,OFÍCIO!$I42,RRE!$L$13:$L$24))</f>
        <v/>
      </c>
      <c r="K42" s="653" t="str">
        <f ca="1">IF(J42="","",SUMIF(RRE!$J$13:$J$24,OFÍCIO!$I42,RRE!$N$13:$N$24))</f>
        <v/>
      </c>
      <c r="L42" s="653" t="str">
        <f ca="1">IF(K42="","",SUMIF(RRE!$J$13:$J$24,OFÍCIO!$I42,RRE!$O$13:$O$24))</f>
        <v/>
      </c>
    </row>
    <row r="43" spans="2:12" x14ac:dyDescent="0.2">
      <c r="B43" s="810"/>
      <c r="C43" s="810"/>
      <c r="D43" s="810"/>
      <c r="E43" s="810"/>
      <c r="F43" s="810"/>
      <c r="G43" s="810"/>
      <c r="I43" s="652" t="str">
        <f ca="1">IF(ROW(I43)-ROW(L$5)&gt;MAX(RRE!$V$13:$V$24),"",INDEX(RRE!$J$13:$J$24,MATCH(ROW(I43)-ROW(I$5),RRE!$V$13:$V$24,0)))</f>
        <v/>
      </c>
      <c r="J43" s="653" t="str">
        <f ca="1">IF(I43="","",SUMIF(RRE!$J$13:$J$24,OFÍCIO!$I43,RRE!$L$13:$L$24))</f>
        <v/>
      </c>
      <c r="K43" s="653" t="str">
        <f ca="1">IF(J43="","",SUMIF(RRE!$J$13:$J$24,OFÍCIO!$I43,RRE!$N$13:$N$24))</f>
        <v/>
      </c>
      <c r="L43" s="653" t="str">
        <f ca="1">IF(K43="","",SUMIF(RRE!$J$13:$J$24,OFÍCIO!$I43,RRE!$O$13:$O$24))</f>
        <v/>
      </c>
    </row>
    <row r="44" spans="2:12" x14ac:dyDescent="0.2">
      <c r="B44" s="810"/>
      <c r="C44" s="810"/>
      <c r="D44" s="810"/>
      <c r="E44" s="810"/>
      <c r="F44" s="810"/>
      <c r="G44" s="810"/>
      <c r="I44" s="652" t="str">
        <f ca="1">IF(ROW(I44)-ROW(L$5)&gt;MAX(RRE!$V$13:$V$24),"",INDEX(RRE!$J$13:$J$24,MATCH(ROW(I44)-ROW(I$5),RRE!$V$13:$V$24,0)))</f>
        <v/>
      </c>
      <c r="J44" s="653" t="str">
        <f ca="1">IF(I44="","",SUMIF(RRE!$J$13:$J$24,OFÍCIO!$I44,RRE!$L$13:$L$24))</f>
        <v/>
      </c>
      <c r="K44" s="653" t="str">
        <f ca="1">IF(J44="","",SUMIF(RRE!$J$13:$J$24,OFÍCIO!$I44,RRE!$N$13:$N$24))</f>
        <v/>
      </c>
      <c r="L44" s="653" t="str">
        <f ca="1">IF(K44="","",SUMIF(RRE!$J$13:$J$24,OFÍCIO!$I44,RRE!$O$13:$O$24))</f>
        <v/>
      </c>
    </row>
    <row r="45" spans="2:12" x14ac:dyDescent="0.2">
      <c r="B45" s="810"/>
      <c r="C45" s="810"/>
      <c r="D45" s="810"/>
      <c r="E45" s="810"/>
      <c r="F45" s="810"/>
      <c r="G45" s="810"/>
      <c r="I45" s="652" t="str">
        <f ca="1">IF(ROW(I45)-ROW(L$5)&gt;MAX(RRE!$V$13:$V$24),"",INDEX(RRE!$J$13:$J$24,MATCH(ROW(I45)-ROW(I$5),RRE!$V$13:$V$24,0)))</f>
        <v/>
      </c>
      <c r="J45" s="653" t="str">
        <f ca="1">IF(I45="","",SUMIF(RRE!$J$13:$J$24,OFÍCIO!$I45,RRE!$L$13:$L$24))</f>
        <v/>
      </c>
      <c r="K45" s="653" t="str">
        <f ca="1">IF(J45="","",SUMIF(RRE!$J$13:$J$24,OFÍCIO!$I45,RRE!$N$13:$N$24))</f>
        <v/>
      </c>
      <c r="L45" s="653" t="str">
        <f ca="1">IF(K45="","",SUMIF(RRE!$J$13:$J$24,OFÍCIO!$I45,RRE!$O$13:$O$24))</f>
        <v/>
      </c>
    </row>
    <row r="46" spans="2:12" x14ac:dyDescent="0.2">
      <c r="B46" s="810"/>
      <c r="C46" s="810"/>
      <c r="D46" s="810"/>
      <c r="E46" s="810"/>
      <c r="F46" s="810"/>
      <c r="G46" s="810"/>
      <c r="I46" s="652" t="str">
        <f ca="1">IF(ROW(I46)-ROW(L$5)&gt;MAX(RRE!$V$13:$V$24),"",INDEX(RRE!$J$13:$J$24,MATCH(ROW(I46)-ROW(I$5),RRE!$V$13:$V$24,0)))</f>
        <v/>
      </c>
      <c r="J46" s="653" t="str">
        <f ca="1">IF(I46="","",SUMIF(RRE!$J$13:$J$24,OFÍCIO!$I46,RRE!$L$13:$L$24))</f>
        <v/>
      </c>
      <c r="K46" s="653" t="str">
        <f ca="1">IF(J46="","",SUMIF(RRE!$J$13:$J$24,OFÍCIO!$I46,RRE!$N$13:$N$24))</f>
        <v/>
      </c>
      <c r="L46" s="653" t="str">
        <f ca="1">IF(K46="","",SUMIF(RRE!$J$13:$J$24,OFÍCIO!$I46,RRE!$O$13:$O$24))</f>
        <v/>
      </c>
    </row>
    <row r="47" spans="2:12" x14ac:dyDescent="0.2">
      <c r="B47" s="650"/>
      <c r="C47" s="650"/>
      <c r="D47" s="650"/>
      <c r="E47" s="650"/>
      <c r="F47" s="650"/>
      <c r="G47" s="642"/>
    </row>
    <row r="48" spans="2:12" x14ac:dyDescent="0.2">
      <c r="B48" s="650"/>
      <c r="C48" s="650"/>
      <c r="D48" s="650"/>
      <c r="E48" s="650"/>
      <c r="F48" s="650"/>
      <c r="G48" s="642"/>
    </row>
    <row r="49" spans="2:7" x14ac:dyDescent="0.2">
      <c r="B49" s="644" t="s">
        <v>398</v>
      </c>
      <c r="C49" s="650"/>
      <c r="D49" s="650"/>
      <c r="E49" s="650"/>
      <c r="F49" s="650"/>
      <c r="G49" s="642"/>
    </row>
    <row r="50" spans="2:7" x14ac:dyDescent="0.2">
      <c r="B50" s="642"/>
      <c r="C50" s="642"/>
      <c r="D50" s="642"/>
      <c r="E50" s="642"/>
      <c r="F50" s="642"/>
      <c r="G50" s="642"/>
    </row>
    <row r="51" spans="2:7" x14ac:dyDescent="0.2">
      <c r="B51" s="645"/>
      <c r="C51" s="644"/>
      <c r="D51" s="644"/>
      <c r="E51" s="644"/>
      <c r="F51" s="644"/>
      <c r="G51" s="644"/>
    </row>
    <row r="52" spans="2:7" x14ac:dyDescent="0.2">
      <c r="B52" s="644"/>
      <c r="C52" s="644"/>
      <c r="D52" s="644"/>
      <c r="E52" s="644"/>
      <c r="F52" s="644"/>
      <c r="G52" s="644"/>
    </row>
    <row r="53" spans="2:7" x14ac:dyDescent="0.2">
      <c r="B53" s="643"/>
      <c r="C53" s="643"/>
      <c r="D53" s="643"/>
      <c r="E53" s="643"/>
      <c r="F53" s="643"/>
      <c r="G53" s="643"/>
    </row>
    <row r="54" spans="2:7" x14ac:dyDescent="0.2">
      <c r="B54" s="805" t="str">
        <f>DADOS!$F$28</f>
        <v>LAURINDO SPEROTTO</v>
      </c>
      <c r="C54" s="805"/>
      <c r="D54" s="805"/>
      <c r="E54" s="805"/>
      <c r="F54" s="805"/>
      <c r="G54" s="805"/>
    </row>
    <row r="55" spans="2:7" x14ac:dyDescent="0.2">
      <c r="B55" s="805" t="str">
        <f>DADOS!$F$29</f>
        <v>PREFEITO</v>
      </c>
      <c r="C55" s="805"/>
      <c r="D55" s="805"/>
      <c r="E55" s="805"/>
      <c r="F55" s="805"/>
      <c r="G55" s="805"/>
    </row>
    <row r="56" spans="2:7" x14ac:dyDescent="0.2">
      <c r="B56" s="806"/>
      <c r="C56" s="806"/>
      <c r="D56" s="806"/>
      <c r="E56" s="806"/>
      <c r="F56" s="806"/>
      <c r="G56" s="806"/>
    </row>
    <row r="57" spans="2:7" x14ac:dyDescent="0.2">
      <c r="B57" s="646"/>
      <c r="C57" s="646"/>
      <c r="D57" s="646"/>
      <c r="E57" s="646"/>
      <c r="F57" s="646"/>
      <c r="G57" s="646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2023-09-21T11:25:56Z</cp:lastPrinted>
  <dcterms:created xsi:type="dcterms:W3CDTF">1997-01-10T22:22:50Z</dcterms:created>
  <dcterms:modified xsi:type="dcterms:W3CDTF">2023-10-09T16:56:23Z</dcterms:modified>
</cp:coreProperties>
</file>